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group\f\i\fin-dp-apn-nicdt\GERAL_NEP_ICDT\Candidaturas Projetos\Ficheiros_orcamento\ingles\"/>
    </mc:Choice>
  </mc:AlternateContent>
  <xr:revisionPtr revIDLastSave="0" documentId="13_ncr:1_{2061F263-3E17-4706-9657-00414E5F593D}" xr6:coauthVersionLast="47" xr6:coauthVersionMax="47" xr10:uidLastSave="{00000000-0000-0000-0000-000000000000}"/>
  <bookViews>
    <workbookView xWindow="22932" yWindow="-48" windowWidth="23256" windowHeight="12456" tabRatio="811" activeTab="4" xr2:uid="{00000000-000D-0000-FFFF-FFFF00000000}"/>
  </bookViews>
  <sheets>
    <sheet name="General Information" sheetId="17" r:id="rId1"/>
    <sheet name="Budget Calculation" sheetId="3" r:id="rId2"/>
    <sheet name="Researcher Contract(DL 57_2016)" sheetId="11" r:id="rId3"/>
    <sheet name="Technical Staff Contract" sheetId="25" r:id="rId4"/>
    <sheet name="Research Studentship" sheetId="5" r:id="rId5"/>
    <sheet name="Cálculo Seg. acidentes trabalho" sheetId="19" state="hidden" r:id="rId6"/>
    <sheet name="Accident Insurance" sheetId="27" r:id="rId7"/>
    <sheet name="Researcher Remuneration Level" sheetId="12" r:id="rId8"/>
  </sheets>
  <externalReferences>
    <externalReference r:id="rId9"/>
  </externalReferences>
  <definedNames>
    <definedName name="_xlnm.Print_Area" localSheetId="1">'Budget Calculation'!#REF!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1" l="1"/>
  <c r="B4" i="27"/>
  <c r="B3" i="27"/>
  <c r="B10" i="25"/>
  <c r="B5" i="11"/>
  <c r="B4" i="11" s="1"/>
  <c r="D5" i="11"/>
  <c r="E5" i="11"/>
  <c r="F5" i="11"/>
  <c r="G5" i="11"/>
  <c r="I5" i="11"/>
  <c r="J5" i="11"/>
  <c r="B6" i="11"/>
  <c r="F6" i="11" s="1"/>
  <c r="D6" i="11"/>
  <c r="E6" i="11"/>
  <c r="I6" i="11"/>
  <c r="J6" i="11"/>
  <c r="B7" i="11"/>
  <c r="D7" i="11" s="1"/>
  <c r="E7" i="11"/>
  <c r="F7" i="11"/>
  <c r="G7" i="11"/>
  <c r="B9" i="11"/>
  <c r="F9" i="11" s="1"/>
  <c r="D9" i="11"/>
  <c r="E9" i="11"/>
  <c r="G9" i="11"/>
  <c r="B11" i="11"/>
  <c r="D11" i="11" s="1"/>
  <c r="E11" i="11"/>
  <c r="F11" i="11"/>
  <c r="G11" i="11"/>
  <c r="B12" i="11"/>
  <c r="F12" i="11" s="1"/>
  <c r="D12" i="11"/>
  <c r="I12" i="11" s="1"/>
  <c r="E12" i="11"/>
  <c r="J12" i="11"/>
  <c r="B13" i="11"/>
  <c r="D13" i="11" s="1"/>
  <c r="I13" i="11" s="1"/>
  <c r="B16" i="11"/>
  <c r="F16" i="11" s="1"/>
  <c r="D16" i="11"/>
  <c r="E16" i="11"/>
  <c r="I16" i="11"/>
  <c r="J16" i="11"/>
  <c r="D17" i="11"/>
  <c r="E17" i="11"/>
  <c r="F17" i="11"/>
  <c r="G17" i="11"/>
  <c r="I17" i="11"/>
  <c r="J17" i="11"/>
  <c r="H53" i="12"/>
  <c r="E53" i="12"/>
  <c r="D53" i="12"/>
  <c r="H52" i="12"/>
  <c r="E52" i="12"/>
  <c r="D52" i="12"/>
  <c r="H51" i="12"/>
  <c r="E51" i="12"/>
  <c r="D51" i="12"/>
  <c r="H50" i="12"/>
  <c r="E50" i="12"/>
  <c r="D50" i="12"/>
  <c r="H49" i="12"/>
  <c r="E49" i="12"/>
  <c r="D49" i="12"/>
  <c r="H48" i="12"/>
  <c r="E48" i="12"/>
  <c r="D48" i="12"/>
  <c r="H47" i="12"/>
  <c r="E47" i="12"/>
  <c r="D47" i="12"/>
  <c r="H46" i="12"/>
  <c r="E46" i="12"/>
  <c r="D46" i="12"/>
  <c r="H45" i="12"/>
  <c r="E45" i="12"/>
  <c r="D45" i="12"/>
  <c r="H44" i="12"/>
  <c r="E44" i="12"/>
  <c r="D44" i="12"/>
  <c r="H43" i="12"/>
  <c r="E43" i="12"/>
  <c r="D43" i="12"/>
  <c r="H42" i="12"/>
  <c r="E42" i="12"/>
  <c r="D42" i="12"/>
  <c r="H41" i="12"/>
  <c r="E41" i="12"/>
  <c r="D41" i="12"/>
  <c r="H40" i="12"/>
  <c r="E40" i="12"/>
  <c r="D40" i="12"/>
  <c r="H39" i="12"/>
  <c r="E39" i="12"/>
  <c r="D39" i="12"/>
  <c r="H38" i="12"/>
  <c r="E38" i="12"/>
  <c r="D38" i="12"/>
  <c r="H37" i="12"/>
  <c r="E37" i="12"/>
  <c r="D37" i="12"/>
  <c r="H36" i="12"/>
  <c r="E36" i="12"/>
  <c r="D36" i="12"/>
  <c r="H35" i="12"/>
  <c r="E35" i="12"/>
  <c r="D35" i="12"/>
  <c r="H34" i="12"/>
  <c r="E34" i="12"/>
  <c r="D34" i="12"/>
  <c r="H33" i="12"/>
  <c r="E33" i="12"/>
  <c r="D33" i="12"/>
  <c r="H32" i="12"/>
  <c r="E32" i="12"/>
  <c r="D32" i="12"/>
  <c r="H31" i="12"/>
  <c r="E31" i="12"/>
  <c r="D31" i="12"/>
  <c r="H30" i="12"/>
  <c r="E30" i="12"/>
  <c r="D30" i="12"/>
  <c r="H29" i="12"/>
  <c r="E29" i="12"/>
  <c r="D29" i="12"/>
  <c r="H28" i="12"/>
  <c r="E28" i="12"/>
  <c r="D28" i="12"/>
  <c r="H27" i="12"/>
  <c r="E27" i="12"/>
  <c r="D27" i="12"/>
  <c r="H26" i="12"/>
  <c r="E26" i="12"/>
  <c r="D26" i="12"/>
  <c r="H25" i="12"/>
  <c r="E25" i="12"/>
  <c r="D25" i="12"/>
  <c r="H24" i="12"/>
  <c r="E24" i="12"/>
  <c r="D24" i="12"/>
  <c r="H23" i="12"/>
  <c r="E23" i="12"/>
  <c r="D23" i="12"/>
  <c r="H22" i="12"/>
  <c r="E22" i="12"/>
  <c r="D22" i="12"/>
  <c r="H21" i="12"/>
  <c r="E21" i="12"/>
  <c r="D21" i="12"/>
  <c r="H20" i="12"/>
  <c r="E20" i="12"/>
  <c r="D20" i="12"/>
  <c r="H19" i="12"/>
  <c r="E19" i="12"/>
  <c r="D19" i="12"/>
  <c r="H18" i="12"/>
  <c r="E18" i="12"/>
  <c r="D18" i="12"/>
  <c r="H17" i="12"/>
  <c r="E17" i="12"/>
  <c r="D17" i="12"/>
  <c r="H16" i="12"/>
  <c r="E16" i="12"/>
  <c r="D16" i="12"/>
  <c r="H15" i="12"/>
  <c r="E15" i="12"/>
  <c r="D15" i="12"/>
  <c r="H14" i="12"/>
  <c r="E14" i="12"/>
  <c r="D14" i="12"/>
  <c r="H13" i="12"/>
  <c r="E13" i="12"/>
  <c r="D13" i="12"/>
  <c r="H12" i="12"/>
  <c r="E12" i="12"/>
  <c r="D12" i="12"/>
  <c r="H11" i="12"/>
  <c r="E11" i="12"/>
  <c r="D11" i="12"/>
  <c r="H10" i="12"/>
  <c r="E10" i="12"/>
  <c r="D10" i="12"/>
  <c r="H9" i="12"/>
  <c r="E9" i="12"/>
  <c r="D9" i="12"/>
  <c r="H8" i="12"/>
  <c r="E8" i="12"/>
  <c r="D8" i="12"/>
  <c r="H7" i="12"/>
  <c r="E7" i="12"/>
  <c r="D7" i="12"/>
  <c r="H6" i="12"/>
  <c r="E6" i="12"/>
  <c r="D6" i="12"/>
  <c r="H5" i="12"/>
  <c r="E5" i="12"/>
  <c r="D5" i="12"/>
  <c r="H4" i="12"/>
  <c r="E4" i="12"/>
  <c r="D4" i="12"/>
  <c r="J9" i="11" l="1"/>
  <c r="H11" i="11"/>
  <c r="I9" i="11"/>
  <c r="B8" i="11"/>
  <c r="H5" i="11"/>
  <c r="B7" i="27"/>
  <c r="B8" i="27" s="1"/>
  <c r="H4" i="27" s="1"/>
  <c r="B5" i="27"/>
  <c r="B9" i="27" s="1"/>
  <c r="N4" i="27" s="1"/>
  <c r="B6" i="27"/>
  <c r="B10" i="27" s="1"/>
  <c r="T4" i="27" s="1"/>
  <c r="I11" i="11"/>
  <c r="I15" i="11" s="1"/>
  <c r="D15" i="11"/>
  <c r="J7" i="11"/>
  <c r="I7" i="11"/>
  <c r="H13" i="11"/>
  <c r="H7" i="11"/>
  <c r="G13" i="11"/>
  <c r="H16" i="11"/>
  <c r="F13" i="11"/>
  <c r="F15" i="11" s="1"/>
  <c r="H12" i="11"/>
  <c r="J11" i="11"/>
  <c r="H9" i="11"/>
  <c r="H6" i="11"/>
  <c r="G16" i="11"/>
  <c r="E13" i="11"/>
  <c r="E15" i="11" s="1"/>
  <c r="G12" i="11"/>
  <c r="G15" i="11" s="1"/>
  <c r="G6" i="11"/>
  <c r="J13" i="11"/>
  <c r="G8" i="11" l="1"/>
  <c r="G14" i="11" s="1"/>
  <c r="I8" i="11"/>
  <c r="D8" i="11"/>
  <c r="J8" i="11"/>
  <c r="E8" i="11"/>
  <c r="E14" i="11" s="1"/>
  <c r="F8" i="11"/>
  <c r="F14" i="11" s="1"/>
  <c r="H8" i="11"/>
  <c r="H9" i="27"/>
  <c r="H6" i="27"/>
  <c r="T9" i="27"/>
  <c r="T6" i="27"/>
  <c r="N6" i="27"/>
  <c r="N9" i="27"/>
  <c r="I14" i="11"/>
  <c r="J15" i="11"/>
  <c r="J14" i="11"/>
  <c r="H15" i="11"/>
  <c r="H14" i="11" l="1"/>
  <c r="D14" i="11"/>
  <c r="H7" i="27"/>
  <c r="H8" i="27"/>
  <c r="N7" i="27"/>
  <c r="N8" i="27"/>
  <c r="T8" i="27"/>
  <c r="T7" i="27"/>
  <c r="T10" i="27" s="1"/>
  <c r="N10" i="27" l="1"/>
  <c r="B14" i="27" s="1"/>
  <c r="B10" i="11" s="1"/>
  <c r="H10" i="27"/>
  <c r="D10" i="11" l="1"/>
  <c r="D18" i="11" s="1"/>
  <c r="F10" i="11"/>
  <c r="F18" i="11" s="1"/>
  <c r="G10" i="11"/>
  <c r="G18" i="11" s="1"/>
  <c r="E10" i="11"/>
  <c r="E18" i="11" s="1"/>
  <c r="I10" i="11"/>
  <c r="I18" i="11" s="1"/>
  <c r="H10" i="11"/>
  <c r="H18" i="11" s="1"/>
  <c r="J10" i="11"/>
  <c r="J18" i="11" s="1"/>
  <c r="L11" i="5"/>
  <c r="P11" i="5" s="1"/>
  <c r="Q11" i="5" s="1"/>
  <c r="H11" i="5"/>
  <c r="I11" i="5" s="1"/>
  <c r="E11" i="5"/>
  <c r="I10" i="5"/>
  <c r="H10" i="5"/>
  <c r="L10" i="5" s="1"/>
  <c r="E10" i="5"/>
  <c r="H9" i="5"/>
  <c r="I9" i="5" s="1"/>
  <c r="E9" i="5"/>
  <c r="L8" i="5"/>
  <c r="M8" i="5" s="1"/>
  <c r="H8" i="5"/>
  <c r="I8" i="5" s="1"/>
  <c r="E8" i="5"/>
  <c r="M10" i="5" l="1"/>
  <c r="T10" i="5" s="1"/>
  <c r="P10" i="5"/>
  <c r="Q10" i="5" s="1"/>
  <c r="T11" i="5"/>
  <c r="M11" i="5"/>
  <c r="P8" i="5"/>
  <c r="Q8" i="5" s="1"/>
  <c r="T8" i="5" s="1"/>
  <c r="L9" i="5"/>
  <c r="P9" i="5" l="1"/>
  <c r="Q9" i="5" s="1"/>
  <c r="M9" i="5"/>
  <c r="T9" i="5" s="1"/>
  <c r="T12" i="5" s="1"/>
  <c r="H14" i="25" l="1"/>
  <c r="G25" i="17" l="1"/>
  <c r="G14" i="25" l="1"/>
  <c r="B3" i="19"/>
  <c r="G21" i="25"/>
  <c r="F21" i="25"/>
  <c r="J21" i="25"/>
  <c r="I21" i="25"/>
  <c r="E21" i="25"/>
  <c r="D21" i="25"/>
  <c r="D10" i="25" l="1"/>
  <c r="H10" i="25"/>
  <c r="F10" i="25"/>
  <c r="G10" i="25"/>
  <c r="J10" i="25"/>
  <c r="I10" i="25"/>
  <c r="E10" i="25"/>
  <c r="B9" i="25" l="1"/>
  <c r="H9" i="25" l="1"/>
  <c r="B20" i="25"/>
  <c r="E11" i="25"/>
  <c r="B17" i="25"/>
  <c r="H17" i="25" s="1"/>
  <c r="B16" i="25"/>
  <c r="H16" i="25" s="1"/>
  <c r="B11" i="25"/>
  <c r="H11" i="25" s="1"/>
  <c r="B13" i="25"/>
  <c r="B15" i="25"/>
  <c r="H15" i="25" s="1"/>
  <c r="B12" i="25"/>
  <c r="H12" i="25" s="1"/>
  <c r="J9" i="25"/>
  <c r="F9" i="25"/>
  <c r="G9" i="25"/>
  <c r="D9" i="25"/>
  <c r="E9" i="25"/>
  <c r="I9" i="25"/>
  <c r="H18" i="25" l="1"/>
  <c r="H19" i="25"/>
  <c r="G13" i="25"/>
  <c r="H13" i="25"/>
  <c r="I20" i="25"/>
  <c r="H20" i="25"/>
  <c r="J20" i="25"/>
  <c r="D20" i="25"/>
  <c r="G20" i="25"/>
  <c r="E20" i="25"/>
  <c r="F20" i="25"/>
  <c r="G11" i="25"/>
  <c r="F11" i="25"/>
  <c r="D17" i="25"/>
  <c r="I17" i="25" s="1"/>
  <c r="E17" i="25"/>
  <c r="J17" i="25"/>
  <c r="F17" i="25"/>
  <c r="G17" i="25"/>
  <c r="I13" i="25"/>
  <c r="J13" i="25"/>
  <c r="F13" i="25"/>
  <c r="D13" i="25"/>
  <c r="E13" i="25"/>
  <c r="D11" i="25"/>
  <c r="J12" i="25"/>
  <c r="F12" i="25"/>
  <c r="G12" i="25"/>
  <c r="D12" i="25"/>
  <c r="E12" i="25"/>
  <c r="E18" i="25" s="1"/>
  <c r="I12" i="25"/>
  <c r="D15" i="25"/>
  <c r="E15" i="25"/>
  <c r="J15" i="25"/>
  <c r="F15" i="25"/>
  <c r="G15" i="25"/>
  <c r="G16" i="25"/>
  <c r="D16" i="25"/>
  <c r="E16" i="25"/>
  <c r="J16" i="25"/>
  <c r="F16" i="25"/>
  <c r="B6" i="19"/>
  <c r="B4" i="19"/>
  <c r="D18" i="25" l="1"/>
  <c r="J19" i="25"/>
  <c r="D19" i="25"/>
  <c r="G19" i="25"/>
  <c r="F19" i="25"/>
  <c r="E19" i="25"/>
  <c r="H22" i="25"/>
  <c r="G18" i="25"/>
  <c r="F18" i="25"/>
  <c r="I15" i="25"/>
  <c r="I16" i="25"/>
  <c r="I11" i="25"/>
  <c r="J11" i="25"/>
  <c r="J18" i="25" s="1"/>
  <c r="B7" i="19"/>
  <c r="B8" i="19" s="1"/>
  <c r="H4" i="19" s="1"/>
  <c r="H9" i="19" s="1"/>
  <c r="B5" i="19"/>
  <c r="B9" i="19" s="1"/>
  <c r="N4" i="19" s="1"/>
  <c r="B10" i="19"/>
  <c r="T4" i="19" s="1"/>
  <c r="I19" i="25" l="1"/>
  <c r="I18" i="25"/>
  <c r="H6" i="19"/>
  <c r="H7" i="19" s="1"/>
  <c r="T6" i="19"/>
  <c r="T9" i="19"/>
  <c r="N6" i="19"/>
  <c r="N9" i="19"/>
  <c r="H8" i="19" l="1"/>
  <c r="H10" i="19" s="1"/>
  <c r="N8" i="19"/>
  <c r="N7" i="19"/>
  <c r="T8" i="19"/>
  <c r="T7" i="19"/>
  <c r="T10" i="19" l="1"/>
  <c r="N10" i="19"/>
  <c r="B14" i="19" l="1"/>
  <c r="I14" i="25" l="1"/>
  <c r="D14" i="25"/>
  <c r="J14" i="25"/>
  <c r="G22" i="25"/>
  <c r="F14" i="25"/>
  <c r="J22" i="25" l="1"/>
  <c r="I22" i="25"/>
  <c r="F22" i="25"/>
  <c r="E14" i="25"/>
  <c r="D22" i="25"/>
  <c r="E22" i="25" l="1"/>
  <c r="C12" i="3" l="1"/>
  <c r="C14" i="3" s="1"/>
  <c r="C15" i="3" l="1"/>
  <c r="C16" i="3" l="1"/>
  <c r="D11" i="3" l="1"/>
  <c r="D10" i="3"/>
  <c r="D9" i="3"/>
  <c r="D8" i="3"/>
  <c r="D7" i="3"/>
  <c r="D12" i="3"/>
  <c r="D6" i="3"/>
  <c r="D13" i="3"/>
  <c r="D5" i="3"/>
  <c r="D15" i="3"/>
  <c r="D14" i="3" l="1"/>
  <c r="D16" i="3" s="1"/>
</calcChain>
</file>

<file path=xl/sharedStrings.xml><?xml version="1.0" encoding="utf-8"?>
<sst xmlns="http://schemas.openxmlformats.org/spreadsheetml/2006/main" count="381" uniqueCount="227">
  <si>
    <t>Total</t>
  </si>
  <si>
    <t>Cálculo da massa salarial do trabalhor</t>
  </si>
  <si>
    <t xml:space="preserve">Valor do seguro de acidentes de trabalho </t>
  </si>
  <si>
    <t>Valor</t>
  </si>
  <si>
    <t>(Novembro)</t>
  </si>
  <si>
    <t>(Junho)</t>
  </si>
  <si>
    <t>(Janeiro a Maio, Julho a Outubro e Dezembro)</t>
  </si>
  <si>
    <t>Vencimento base mensal</t>
  </si>
  <si>
    <t xml:space="preserve">Valor </t>
  </si>
  <si>
    <t>Subsídio alimentação (média 22 dias/mês)</t>
  </si>
  <si>
    <t>Total da massa salarial</t>
  </si>
  <si>
    <t>Subsídio férias (Junho)</t>
  </si>
  <si>
    <t>Taxa do contrato</t>
  </si>
  <si>
    <t>Subsídio natal (1/24 avos)</t>
  </si>
  <si>
    <t>Prémio comercial</t>
  </si>
  <si>
    <t>3=1*2</t>
  </si>
  <si>
    <t>Subsídio natal (50% - Novembro)</t>
  </si>
  <si>
    <t>Imposto de selo</t>
  </si>
  <si>
    <t>4=3*4</t>
  </si>
  <si>
    <t>Total (Novembro)</t>
  </si>
  <si>
    <t>INEM</t>
  </si>
  <si>
    <t>5=3*2,5%</t>
  </si>
  <si>
    <t>Total (Junho)</t>
  </si>
  <si>
    <t>FAT</t>
  </si>
  <si>
    <t>6=1*0,15%</t>
  </si>
  <si>
    <t>Total (restantes meses)</t>
  </si>
  <si>
    <t>Prémio (1 mês)</t>
  </si>
  <si>
    <t>7=3+4+5+6</t>
  </si>
  <si>
    <t>Prémio (11 meses)</t>
  </si>
  <si>
    <t>Prémio total (12 meses)</t>
  </si>
  <si>
    <t>Nota: o cálculo deve ser atualizado em função do nível remuneratório aplicável.</t>
  </si>
  <si>
    <t>Níveis remuneratórios/Montante pecuniário (euros)</t>
  </si>
  <si>
    <t>DL 57/2016, artig nº 15º</t>
  </si>
  <si>
    <t xml:space="preserve">Nível 1 </t>
  </si>
  <si>
    <t>Nível 2</t>
  </si>
  <si>
    <t>entre o nível 37 e 53</t>
  </si>
  <si>
    <t>Nível 3</t>
  </si>
  <si>
    <t>entre o nível 54 e 61</t>
  </si>
  <si>
    <t>Nível 4</t>
  </si>
  <si>
    <t>entre o nível 62 e 82</t>
  </si>
  <si>
    <t>33 . . . . . . . . . . . . . . . . . . . . . . . . . . . . . . . . . 2 128,34</t>
  </si>
  <si>
    <t>34 . . . . . . . . . . . . . . . . . . . . . . . . . . . . . . . . . 2 179,83</t>
  </si>
  <si>
    <t>35 . . . . . . . . . . . . . . . . . . . . . . . . . . . . . . . . . 2 231,32</t>
  </si>
  <si>
    <t>36 . . . . . . . . . . . . . . . . . . . . . . . . . . . . . . . . . 2 282,81</t>
  </si>
  <si>
    <t>37 . . . . . . . . . . . . . . . . . . . . . . . . . . . . . . . . . 2 334,30</t>
  </si>
  <si>
    <t>38 . . . . . . . . . . . . . . . . . . . . . . . . . . . . . . . . . 2 385,80</t>
  </si>
  <si>
    <t>39 . . . . . . . . . . . . . . . . . . . . . . . . . . . . . . . . . 2 437,29</t>
  </si>
  <si>
    <t>40 . . . . . . . . . . . . . . . . . . . . . . . . . . . . . . . . . 2 488,78</t>
  </si>
  <si>
    <t>41 . . . . . . . . . . . . . . . . . . . . . . . . . . . . . . . . . 2 540,27</t>
  </si>
  <si>
    <t>42 . . . . . . . . . . . . . . . . . . . . . . . . . . . . . . . . . 2 591,76</t>
  </si>
  <si>
    <t>43 . . . . . . . . . . . . . . . . . . . . . . . . . . . . . . . . . 2 643,26</t>
  </si>
  <si>
    <t>44 . . . . . . . . . . . . . . . . . . . . . . . . . . . . . . . . . 2 694,75</t>
  </si>
  <si>
    <t>45 . . . . . . . . . . . . . . . . . . . . . . . . . . . . . . . . . 2 746,24</t>
  </si>
  <si>
    <t>46 . . . . . . . . . . . . . . . . . . . . . . . . . . . . . . . . . 2 797,73</t>
  </si>
  <si>
    <t>47 . . . . . . . . . . . . . . . . . . . . . . . . . . . . . . . . . 2 849,22</t>
  </si>
  <si>
    <t>48 . . . . . . . . . . . . . . . . . . . . . . . . . . . . . . . . . 2 900,72</t>
  </si>
  <si>
    <t>49 . . . . . . . . . . . . . . . . . . . . . . . . . . . . . . . . . 2 952,21</t>
  </si>
  <si>
    <t>50 . . . . . . . . . . . . . . . . . . . . . . . . . . . . . . . . . 3 003,70</t>
  </si>
  <si>
    <t>51 . . . . . . . . . . . . . . . . . . . . . . . . . . . . . . . . . 3 055,19</t>
  </si>
  <si>
    <t>52 . . . . . . . . . . . . . . . . . . . . . . . . . . . . . . . . . 3 106,68</t>
  </si>
  <si>
    <t>53 . . . . . . . . . . . . . . . . . . . . . . . . . . . . . . . . . 3 158,18</t>
  </si>
  <si>
    <t>54 . . . . . . . . . . . . . . . . . . . . . . . . . . . . . . . . . 3 209,67</t>
  </si>
  <si>
    <t>55 . . . . . . . . . . . . . . . . . . . . . . . . . . . . . . . . . 3 261,16</t>
  </si>
  <si>
    <t>56 . . . . . . . . . . . . . . . . . . . . . . . . . . . . . . . . . 3 312,65</t>
  </si>
  <si>
    <t>57 . . . . . . . . . . . . . . . . . . . . . . . . . . . . . . . . . 3 364,14</t>
  </si>
  <si>
    <t>58 . . . . . . . . . . . . . . . . . . . . . . . . . . . . . . . . . 3 415,64</t>
  </si>
  <si>
    <t>59 . . . . . . . . . . . . . . . . . . . . . . . . . . . . . . . . . 3 467,13</t>
  </si>
  <si>
    <t>60 . . . . . . . . . . . . . . . . . . . . . . . . . . . . . . . . . 3 518,62</t>
  </si>
  <si>
    <t>61 . . . . . . . . . . . . . . . . . . . . . . . . . . . . . . . . . 3 570,11</t>
  </si>
  <si>
    <t>62 . . . . . . . . . . . . . . . . . . . . . . . . . . . . . . . . . 3 621,60</t>
  </si>
  <si>
    <t>63 . . . . . . . . . . . . . . . . . . . . . . . . . . . . . . . . . 3 673,10</t>
  </si>
  <si>
    <t>64 . . . . . . . . . . . . . . . . . . . . . . . . . . . . . . . . . 3 724,59</t>
  </si>
  <si>
    <t>65 . . . . . . . . . . . . . . . . . . . . . . . . . . . . . . . . . 3 776,08</t>
  </si>
  <si>
    <t>66 . . . . . . . . . . . . . . . . . . . . . . . . . . . . . . . . . 3 827,57</t>
  </si>
  <si>
    <t>67 . . . . . . . . . . . . . . . . . . . . . . . . . . . . . . . . . 3 879,06</t>
  </si>
  <si>
    <t>68 . . . . . . . . . . . . . . . . . . . . . . . . . . . . . . . . . 3 930,56</t>
  </si>
  <si>
    <t>69 . . . . . . . . . . . . . . . . . . . . . . . . . . . . . . . . . 3 982,05</t>
  </si>
  <si>
    <t>70 . . . . . . . . . . . . . . . . . . . . . . . . . . . . . . . . . 4 033,54</t>
  </si>
  <si>
    <t>71 . . . . . . . . . . . . . . . . . . . . . . . . . . . . . . . . . 4 085,03</t>
  </si>
  <si>
    <t>72 . . . . . . . . . . . . . . . . . . . . . . . . . . . . . . . . . 4 136,52</t>
  </si>
  <si>
    <t>73 . . . . . . . . . . . . . . . . . . . . . . . . . . . . . . . . . 4 188,02</t>
  </si>
  <si>
    <t>74 . . . . . . . . . . . . . . . . . . . . . . . . . . . . . . . . . 4 239,51</t>
  </si>
  <si>
    <t>75 . . . . . . . . . . . . . . . . . . . . . . . . . . . . . . . . . 4 291</t>
  </si>
  <si>
    <t>76 . . . . . . . . . . . . . . . . . . . . . . . . . . . . . . . . . 4 342,49</t>
  </si>
  <si>
    <t>77 . . . . . . . . . . . . . . . . . . . . . . . . . . . . . . . . . 4 393,98</t>
  </si>
  <si>
    <t>78 . . . . . . . . . . . . . . . . . . . . . . . . . . . . . . . . . 4 445,48</t>
  </si>
  <si>
    <t>79 . . . . . . . . . . . . . . . . . . . . . . . . . . . . . . . . . 4 496,97</t>
  </si>
  <si>
    <t>80 . . . . . . . . . . . . . . . . . . . . . . . . . . . . . . . . . 4 548,46</t>
  </si>
  <si>
    <t>81 . . . . . . . . . . . . . . . . . . . . . . . . . . . . . . . . . 4 599,95</t>
  </si>
  <si>
    <t>82 . . . . . . . . . . . . . . . . . . . . . . . . . . . . . . . . . 4 651,44</t>
  </si>
  <si>
    <t>%</t>
  </si>
  <si>
    <t>Direção (OG)</t>
  </si>
  <si>
    <t>Unidade de Exploração (OE)</t>
  </si>
  <si>
    <t>Unidade Operacional (OO)</t>
  </si>
  <si>
    <t>Coordenador (OC)</t>
  </si>
  <si>
    <t>Nível remuneratório (DL 57/2016)</t>
  </si>
  <si>
    <t>Nível TRU</t>
  </si>
  <si>
    <t>1 e 2</t>
  </si>
  <si>
    <t>entre o nível 33 e 53</t>
  </si>
  <si>
    <t>Call:</t>
  </si>
  <si>
    <t>Project type/Proposal number:</t>
  </si>
  <si>
    <r>
      <rPr>
        <b/>
        <sz val="11"/>
        <color theme="1"/>
        <rFont val="Calibri"/>
        <family val="2"/>
        <scheme val="minor"/>
      </rPr>
      <t>Acronym</t>
    </r>
    <r>
      <rPr>
        <sz val="11"/>
        <color theme="1"/>
        <rFont val="Calibri"/>
        <family val="2"/>
        <scheme val="minor"/>
      </rPr>
      <t>:</t>
    </r>
  </si>
  <si>
    <r>
      <rPr>
        <b/>
        <sz val="10"/>
        <rFont val="Arial"/>
        <family val="2"/>
      </rPr>
      <t>Title</t>
    </r>
    <r>
      <rPr>
        <sz val="10"/>
        <rFont val="Arial"/>
        <family val="2"/>
      </rPr>
      <t>:</t>
    </r>
  </si>
  <si>
    <r>
      <rPr>
        <b/>
        <sz val="10"/>
        <rFont val="Arial"/>
        <family val="2"/>
      </rPr>
      <t>Principal Investigator</t>
    </r>
    <r>
      <rPr>
        <sz val="10"/>
        <rFont val="Arial"/>
        <family val="2"/>
      </rPr>
      <t>:</t>
    </r>
  </si>
  <si>
    <r>
      <rPr>
        <b/>
        <sz val="10"/>
        <rFont val="Arial"/>
        <family val="2"/>
      </rPr>
      <t>R&amp;D Unit</t>
    </r>
    <r>
      <rPr>
        <sz val="10"/>
        <rFont val="Arial"/>
        <family val="2"/>
      </rPr>
      <t>:</t>
    </r>
  </si>
  <si>
    <t>Enter values in yellow cells only</t>
  </si>
  <si>
    <t>Budget</t>
  </si>
  <si>
    <t>Start date</t>
  </si>
  <si>
    <t>Duration (months)*</t>
  </si>
  <si>
    <t>End Date</t>
  </si>
  <si>
    <t>* Exploratory research projects (PeX) will have a maximum duration of 18 months, that could be extended up to 6 months in duly justified cases.</t>
  </si>
  <si>
    <t>RESEARCH TEAM</t>
  </si>
  <si>
    <t>Team member 1</t>
  </si>
  <si>
    <t>Team member 2</t>
  </si>
  <si>
    <t>Team member 3</t>
  </si>
  <si>
    <t>Team member 4</t>
  </si>
  <si>
    <t>Name</t>
  </si>
  <si>
    <t>Institution</t>
  </si>
  <si>
    <t>Position (1)</t>
  </si>
  <si>
    <t>BUDGET CALCULATION  (IST-ID)</t>
  </si>
  <si>
    <t>Team members</t>
  </si>
  <si>
    <t>Travel Costs</t>
  </si>
  <si>
    <t>Subcontracting</t>
  </si>
  <si>
    <t>Indirect Costs (25%)</t>
  </si>
  <si>
    <t>Total Direct Costs</t>
  </si>
  <si>
    <t>Instruments and scientific and technical equipment</t>
  </si>
  <si>
    <t>Demonstration, promotion and dissemination costs</t>
  </si>
  <si>
    <t>Total Costs</t>
  </si>
  <si>
    <t>Adaptation of buildings and facilities</t>
  </si>
  <si>
    <t>Patents registration</t>
  </si>
  <si>
    <t>Other goods and services</t>
  </si>
  <si>
    <t>Internal Overheads rates*</t>
  </si>
  <si>
    <t>* Refers to the overhead rates, applied to the financed amount, charged by IST-ID</t>
  </si>
  <si>
    <t>Cost Category</t>
  </si>
  <si>
    <t>Cost Description</t>
  </si>
  <si>
    <t>Expenses with travels in the country and abroad, complying with the legal regulations that regulate public expenses, in particular Decree-Law No. 106/98 of April 24 and Decree-Law No. 192/95 of 28 July, in its current wording.</t>
  </si>
  <si>
    <t>Subcontracts directly related to the execution of scientific tasks of the project.</t>
  </si>
  <si>
    <t>Other goods and services directly related to the execution of the project, including the costs of consultants who do not constitute subcontracts.</t>
  </si>
  <si>
    <t>Expenses associated with registration of patents, copyrights, utility models and designs, national models or trademarks, when associated with other forms of intellectual protection, namely, fees, research on the state of the art and consultancy expenses.</t>
  </si>
  <si>
    <t>Adaptation of buildings and facilities when essential to carrying out the project, namely for environmental and safety issues, limited to a maximum of 10% of the total eligible expenses of the project.</t>
  </si>
  <si>
    <t>Indirect costs, calculated based on simplified costs, based on the application of the flat rate of 25% of the direct eligible costs, excluding subcontracting.</t>
  </si>
  <si>
    <t>Description</t>
  </si>
  <si>
    <t>Salary Level</t>
  </si>
  <si>
    <t>12 months</t>
  </si>
  <si>
    <t>15 months</t>
  </si>
  <si>
    <t>18 months</t>
  </si>
  <si>
    <t>20 months</t>
  </si>
  <si>
    <t>24 months</t>
  </si>
  <si>
    <t>30 months</t>
  </si>
  <si>
    <t>36 months</t>
  </si>
  <si>
    <t>Monthly amount [FCT Table]</t>
  </si>
  <si>
    <t>R&amp;D activities to be carried out by doctorates (BIPD)</t>
  </si>
  <si>
    <t>R&amp;D activities to be undertaken by PhD students or graduates and masters students enrolled in courses not awarding of academic degree (BI)</t>
  </si>
  <si>
    <t>Initiation activities to R&amp;D (BII)</t>
  </si>
  <si>
    <t>R&amp;D activities to be carried out by master students, integrated master students or by graduates and masters enrolled in non-academic degree courses (BI)</t>
  </si>
  <si>
    <t>Minimum duration of three months and may be renewed up to a maximum period of one year.</t>
  </si>
  <si>
    <t>The duration of the BIPD is, general rule, one year and cannot be granted for periods of less than three consecutive months, being renewable up to a maximum term of three years.</t>
  </si>
  <si>
    <t>The BI duration is, as a rule, annual, and cannot be granted for periods of less than three consecutive months. They may be renewed for additional periods, until they reach: a) One year, when the scholarship has been awarded to graduates or masters who are enrolled in study cycles that do not confer an academic degree; b) Two years, when the scholarship has been awarded to a student enrolled in a master's degree; c) Four years, when the scholarship has been awarded to a student enrolled in a PhD.</t>
  </si>
  <si>
    <t>End-of-contract indemnities</t>
  </si>
  <si>
    <t>Purchase of scientific and technical instruments and equipment, essential to the project, if they are used throughout their lifetime in the project. Depreciation of scientific and technical instruments and equipment, essential to the project, whose useful life period is contained in the execution period, but does not end in the same period. Equipment with a value of less than € 1000 is depreciated over 12 months.</t>
  </si>
  <si>
    <t>Social Security (22,30%)- monthly</t>
  </si>
  <si>
    <t>Social Security (22,30%)- monthly/Not eligible</t>
  </si>
  <si>
    <t>Total Eligible Costs</t>
  </si>
  <si>
    <t>Accident Insurance</t>
  </si>
  <si>
    <t>2 days for each month of full work, up to 22 days</t>
  </si>
  <si>
    <t>18 days for each year of full work (salary * number of days / 30)</t>
  </si>
  <si>
    <t>Variable depending on the start and end date of the contract, maximum 22 days</t>
  </si>
  <si>
    <t>Social Security Tax</t>
  </si>
  <si>
    <t>FGCT = 0,075% + FCT = 0,925% (Work Compensation Fund)</t>
  </si>
  <si>
    <t>Publication (National newspaper)</t>
  </si>
  <si>
    <t>Publication Cost</t>
  </si>
  <si>
    <t>Total Cost</t>
  </si>
  <si>
    <t>Food Allowance</t>
  </si>
  <si>
    <t>22 working days on average, variable depending on the days of the month/absences/holidays</t>
  </si>
  <si>
    <t>Vacation not taken</t>
  </si>
  <si>
    <t>Vacation Allowance</t>
  </si>
  <si>
    <t>Christmas Allowance</t>
  </si>
  <si>
    <t>Accrued vacation allowance</t>
  </si>
  <si>
    <t>Accrued vacation</t>
  </si>
  <si>
    <t>SALARY LEVEL</t>
  </si>
  <si>
    <t>AMOUNT</t>
  </si>
  <si>
    <t>CATEGORY</t>
  </si>
  <si>
    <t>"Técnico Superior"</t>
  </si>
  <si>
    <t>FCT+FGCT (1% of the monthly salary)</t>
  </si>
  <si>
    <t>Personnel costs - Researcher Contract/Technical Staff</t>
  </si>
  <si>
    <t>Coordinator Institution:</t>
  </si>
  <si>
    <t>Partner Institutions:</t>
  </si>
  <si>
    <t>(1) Please indicate the position: professor, researcher, research fellow</t>
  </si>
  <si>
    <t>Note: when purchasing equipment, instruments and reagents used in R&amp;D activities, VAT will be refunded by AT (Portuguese Tax Authority). In this cases VAT will not be a cost for the project, and should not be included in the budget.</t>
  </si>
  <si>
    <t>Expenses with the demonstration, promotion and dissemination of the results of the project, for actions to disseminate the knowledge produced and public dissemination of the results, namely publication rates in compliance with and in accordance with national open access policies. Includes the travel costs related to the dissemination of results.</t>
  </si>
  <si>
    <t>The project is only viable if the amount of the non-eligible costs does not exceed 75% of "overhead cordenador" (5% of the financed amount).</t>
  </si>
  <si>
    <t>Researcher Contract  - Calculation</t>
  </si>
  <si>
    <t>According to researcher salary level</t>
  </si>
  <si>
    <t>Monthly salary</t>
  </si>
  <si>
    <t>Monthly Salary</t>
  </si>
  <si>
    <t>Technical Staff Contract - Calculation</t>
  </si>
  <si>
    <t>1/12 of the monthly salary</t>
  </si>
  <si>
    <t>Variable according to monthly salary</t>
  </si>
  <si>
    <t>According to monthly salary</t>
  </si>
  <si>
    <t xml:space="preserve">Principal Investigator PI </t>
  </si>
  <si>
    <t xml:space="preserve">Co-PI </t>
  </si>
  <si>
    <t>Social Security and insurance*</t>
  </si>
  <si>
    <t>FCT Concurso de Projetos de investigação de carater exploratório em todos os Domínios Científicos 2024 ( https://www.fct.pt/abertura-de-concurso-para-candidaturas-a-projetos-de-investigacao-de-carater-exploratorio-em-todos-os-dominios-cientificos-2024/ )</t>
  </si>
  <si>
    <t>PEX</t>
  </si>
  <si>
    <r>
      <t xml:space="preserve">Budgets must be sent to </t>
    </r>
    <r>
      <rPr>
        <b/>
        <sz val="10"/>
        <color rgb="FFFF0000"/>
        <rFont val="Arial"/>
        <family val="2"/>
      </rPr>
      <t>nicdt.dp@tecnico.ulisboa.pt for validation, until 18/02/2025</t>
    </r>
    <r>
      <rPr>
        <b/>
        <sz val="10"/>
        <rFont val="Arial"/>
        <family val="2"/>
      </rPr>
      <t>. The Proposing Institution will not accept applications not validated by the services.</t>
    </r>
  </si>
  <si>
    <t>Personnel Costs - Research Studentships</t>
  </si>
  <si>
    <t>Expenses with human resources dedicated or associated with the development of R&amp;D activities related to the execution of the project, in all the components required by the applicable labor legislation, including research grant holders directly supported by the beneficiaries.</t>
  </si>
  <si>
    <t>The maximum funding limit per project is 60k  euros.</t>
  </si>
  <si>
    <t>TABLE OF SUBSIDIES FOR STUDENTSHIPS</t>
  </si>
  <si>
    <t>The granting of scholarships within the scope of the projects is the subject of a call for tenders and contracts by the beneficiary entities, in accordance with the terms of the Research Grant Holder Statute (Law no. 40/2004, of 18 August, in its current wording) and FCT Regulation of Studentships of Research.</t>
  </si>
  <si>
    <t>Research Studentships</t>
  </si>
  <si>
    <r>
      <rPr>
        <b/>
        <sz val="10"/>
        <rFont val="Arial"/>
        <family val="2"/>
      </rPr>
      <t xml:space="preserve">Nota: </t>
    </r>
    <r>
      <rPr>
        <sz val="10"/>
        <rFont val="Arial"/>
        <family val="2"/>
      </rPr>
      <t>Choose for each year the number of months and number of studentship holder</t>
    </r>
  </si>
  <si>
    <t>Estimate costs for 2025</t>
  </si>
  <si>
    <t>Estimate costs for 2026</t>
  </si>
  <si>
    <t>Estimate costs for 2027</t>
  </si>
  <si>
    <t>Estimate costs for 2028</t>
  </si>
  <si>
    <t>Nº months</t>
  </si>
  <si>
    <t>Nº studentship</t>
  </si>
  <si>
    <t>Amount</t>
  </si>
  <si>
    <t>* Overestimated amounts to cover possible increases</t>
  </si>
  <si>
    <r>
      <t>Available on page:</t>
    </r>
    <r>
      <rPr>
        <sz val="10"/>
        <color theme="4"/>
        <rFont val="Arial"/>
        <family val="2"/>
      </rPr>
      <t xml:space="preserve"> https://www.fct.pt/fct-atualizou-o-valor-das-bolsas-de-investigacao-3/</t>
    </r>
  </si>
  <si>
    <t>Tabela remuneratória única</t>
  </si>
  <si>
    <t>TRU
2021</t>
  </si>
  <si>
    <t>TRU
2023</t>
  </si>
  <si>
    <t>TRU 2024</t>
  </si>
  <si>
    <t>TRU 2025</t>
  </si>
  <si>
    <t>V1-2025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</si>
</sst>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43" formatCode="_-* #,##0.00_-;\-* #,##0.00_-;_-* &quot;-&quot;??_-;_-@_-"/>
    <numFmt numFmtId="164" formatCode="0.000%"/>
    <numFmt numFmtId="165" formatCode="00"/>
    <numFmt numFmtId="166" formatCode="&quot;€&quot;\ #,##0.00"/>
    <numFmt numFmtId="167" formatCode="0.0%"/>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b/>
      <sz val="14"/>
      <color rgb="FF0070C0"/>
      <name val="Calibri"/>
      <family val="2"/>
      <scheme val="minor"/>
    </font>
    <font>
      <b/>
      <sz val="14"/>
      <color theme="5"/>
      <name val="Calibri"/>
      <family val="2"/>
      <scheme val="minor"/>
    </font>
    <font>
      <sz val="8"/>
      <color theme="1"/>
      <name val="Calibri"/>
      <family val="2"/>
      <scheme val="minor"/>
    </font>
    <font>
      <b/>
      <sz val="14"/>
      <color theme="6" tint="-0.249977111117893"/>
      <name val="Calibri"/>
      <family val="2"/>
      <scheme val="minor"/>
    </font>
    <font>
      <b/>
      <sz val="14"/>
      <color theme="0" tint="-4.9989318521683403E-2"/>
      <name val="Calibri"/>
      <family val="2"/>
      <scheme val="minor"/>
    </font>
    <font>
      <b/>
      <sz val="16"/>
      <color theme="0" tint="-4.9989318521683403E-2"/>
      <name val="Calibri"/>
      <family val="2"/>
      <scheme val="minor"/>
    </font>
    <font>
      <sz val="11"/>
      <color rgb="FFFF0000"/>
      <name val="Calibri"/>
      <family val="2"/>
      <scheme val="minor"/>
    </font>
    <font>
      <b/>
      <sz val="8"/>
      <color theme="1"/>
      <name val="Calibri"/>
      <family val="2"/>
      <scheme val="minor"/>
    </font>
    <font>
      <b/>
      <sz val="16"/>
      <color theme="1"/>
      <name val="Arial"/>
      <family val="2"/>
    </font>
    <font>
      <sz val="11"/>
      <color theme="1"/>
      <name val="Times New Roman"/>
      <family val="1"/>
    </font>
    <font>
      <b/>
      <sz val="16"/>
      <name val="Calibri"/>
      <family val="2"/>
      <scheme val="minor"/>
    </font>
    <font>
      <b/>
      <sz val="11"/>
      <color theme="5"/>
      <name val="Calibri"/>
      <family val="2"/>
      <scheme val="minor"/>
    </font>
    <font>
      <sz val="10"/>
      <name val="Arial"/>
      <family val="2"/>
    </font>
    <font>
      <sz val="10"/>
      <color indexed="8"/>
      <name val="Arial"/>
      <family val="2"/>
    </font>
    <font>
      <b/>
      <sz val="8"/>
      <name val="Arial"/>
      <family val="2"/>
    </font>
    <font>
      <sz val="9"/>
      <name val="Arial"/>
      <family val="2"/>
    </font>
    <font>
      <sz val="11"/>
      <name val="Calibri"/>
      <family val="2"/>
    </font>
    <font>
      <b/>
      <sz val="11"/>
      <name val="Calibri"/>
      <family val="2"/>
    </font>
    <font>
      <sz val="14"/>
      <name val="Arial"/>
      <family val="2"/>
    </font>
    <font>
      <sz val="11"/>
      <name val="Arial"/>
      <family val="2"/>
    </font>
    <font>
      <b/>
      <sz val="11"/>
      <name val="Calibri"/>
      <family val="2"/>
      <scheme val="minor"/>
    </font>
    <font>
      <b/>
      <i/>
      <sz val="11"/>
      <color theme="1"/>
      <name val="Calibri"/>
      <family val="2"/>
      <scheme val="minor"/>
    </font>
    <font>
      <i/>
      <sz val="10"/>
      <color indexed="8"/>
      <name val="Arial"/>
      <family val="2"/>
    </font>
    <font>
      <b/>
      <sz val="10"/>
      <color rgb="FFFF0000"/>
      <name val="Arial"/>
      <family val="2"/>
    </font>
    <font>
      <sz val="10"/>
      <color theme="4"/>
      <name val="Arial"/>
      <family val="2"/>
    </font>
    <font>
      <b/>
      <sz val="12"/>
      <color theme="1"/>
      <name val="Times New Roman"/>
      <family val="1"/>
    </font>
  </fonts>
  <fills count="1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3"/>
        <bgColor indexed="64"/>
      </patternFill>
    </fill>
    <fill>
      <patternFill patternType="solid">
        <fgColor rgb="FFFFC000"/>
        <bgColor indexed="64"/>
      </patternFill>
    </fill>
    <fill>
      <patternFill patternType="solid">
        <fgColor theme="4" tint="0.79998168889431442"/>
        <bgColor indexed="65"/>
      </patternFill>
    </fill>
    <fill>
      <patternFill patternType="solid">
        <fgColor theme="3" tint="0.79998168889431442"/>
        <bgColor indexed="64"/>
      </patternFill>
    </fill>
    <fill>
      <patternFill patternType="lightUp">
        <bgColor theme="0"/>
      </patternFill>
    </fill>
    <fill>
      <patternFill patternType="solid">
        <fgColor rgb="FFFFFF99"/>
        <bgColor indexed="64"/>
      </patternFill>
    </fill>
    <fill>
      <patternFill patternType="solid">
        <fgColor rgb="FFFFFF00"/>
        <bgColor indexed="64"/>
      </patternFill>
    </fill>
    <fill>
      <patternFill patternType="solid">
        <fgColor rgb="FFFFCC99"/>
        <bgColor indexed="64"/>
      </patternFill>
    </fill>
    <fill>
      <patternFill patternType="solid">
        <fgColor theme="0" tint="-0.249977111117893"/>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right/>
      <top style="thin">
        <color indexed="64"/>
      </top>
      <bottom/>
      <diagonal/>
    </border>
    <border>
      <left/>
      <right/>
      <top style="thin">
        <color theme="4"/>
      </top>
      <bottom style="double">
        <color theme="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medium">
        <color indexed="64"/>
      </top>
      <bottom style="medium">
        <color indexed="64"/>
      </bottom>
      <diagonal/>
    </border>
    <border>
      <left style="dashed">
        <color indexed="64"/>
      </left>
      <right style="dashed">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s>
  <cellStyleXfs count="17">
    <xf numFmtId="0" fontId="0" fillId="0" borderId="0"/>
    <xf numFmtId="0" fontId="12" fillId="0" borderId="0"/>
    <xf numFmtId="0" fontId="13" fillId="0" borderId="18" applyNumberFormat="0" applyFill="0" applyAlignment="0" applyProtection="0"/>
    <xf numFmtId="0" fontId="10" fillId="8" borderId="0" applyNumberFormat="0" applyBorder="0" applyAlignment="0" applyProtection="0"/>
    <xf numFmtId="0" fontId="10" fillId="0" borderId="0"/>
    <xf numFmtId="44" fontId="10" fillId="0" borderId="0" applyFont="0" applyFill="0" applyBorder="0" applyAlignment="0" applyProtection="0"/>
    <xf numFmtId="9" fontId="10" fillId="0" borderId="0" applyFont="0" applyFill="0" applyBorder="0" applyAlignment="0" applyProtection="0"/>
    <xf numFmtId="0" fontId="9" fillId="0" borderId="0"/>
    <xf numFmtId="0" fontId="30" fillId="0" borderId="0"/>
    <xf numFmtId="44" fontId="30" fillId="0" borderId="0" applyFont="0" applyFill="0" applyBorder="0" applyAlignment="0" applyProtection="0"/>
    <xf numFmtId="0" fontId="7" fillId="0" borderId="0"/>
    <xf numFmtId="0" fontId="7" fillId="8" borderId="0" applyNumberFormat="0" applyBorder="0" applyAlignment="0" applyProtection="0"/>
    <xf numFmtId="0" fontId="7" fillId="0" borderId="0"/>
    <xf numFmtId="44" fontId="7" fillId="0" borderId="0" applyFont="0" applyFill="0" applyBorder="0" applyAlignment="0" applyProtection="0"/>
    <xf numFmtId="9" fontId="7" fillId="0" borderId="0" applyFont="0" applyFill="0" applyBorder="0" applyAlignment="0" applyProtection="0"/>
    <xf numFmtId="0" fontId="7" fillId="0" borderId="0"/>
    <xf numFmtId="43" fontId="30" fillId="0" borderId="0" applyFont="0" applyFill="0" applyBorder="0" applyAlignment="0" applyProtection="0"/>
  </cellStyleXfs>
  <cellXfs count="265">
    <xf numFmtId="0" fontId="0" fillId="0" borderId="0" xfId="0"/>
    <xf numFmtId="0" fontId="16" fillId="0" borderId="0" xfId="0" applyFont="1"/>
    <xf numFmtId="0" fontId="13" fillId="3" borderId="1" xfId="0" applyFont="1" applyFill="1" applyBorder="1" applyAlignment="1">
      <alignment horizontal="center" vertical="center"/>
    </xf>
    <xf numFmtId="0" fontId="13" fillId="3" borderId="1" xfId="0" applyFont="1" applyFill="1" applyBorder="1" applyAlignment="1">
      <alignment horizontal="center" vertical="center" wrapText="1"/>
    </xf>
    <xf numFmtId="0" fontId="0" fillId="0" borderId="0" xfId="0" applyAlignment="1">
      <alignment vertical="center"/>
    </xf>
    <xf numFmtId="4" fontId="0" fillId="0" borderId="0" xfId="0" applyNumberFormat="1"/>
    <xf numFmtId="0" fontId="13" fillId="3" borderId="2" xfId="0" applyFont="1" applyFill="1" applyBorder="1" applyAlignment="1">
      <alignment horizontal="center" vertical="center" wrapText="1"/>
    </xf>
    <xf numFmtId="4" fontId="0" fillId="0" borderId="0" xfId="0" applyNumberFormat="1" applyAlignment="1">
      <alignment vertical="center"/>
    </xf>
    <xf numFmtId="4" fontId="0" fillId="0" borderId="13" xfId="0" applyNumberFormat="1" applyBorder="1"/>
    <xf numFmtId="4" fontId="0" fillId="0" borderId="13" xfId="0" applyNumberFormat="1" applyBorder="1" applyAlignment="1">
      <alignment horizontal="left"/>
    </xf>
    <xf numFmtId="0" fontId="0" fillId="0" borderId="13" xfId="0" applyBorder="1"/>
    <xf numFmtId="0" fontId="0" fillId="0" borderId="12" xfId="0" applyBorder="1"/>
    <xf numFmtId="10" fontId="0" fillId="2" borderId="13" xfId="0" applyNumberFormat="1" applyFill="1" applyBorder="1"/>
    <xf numFmtId="0" fontId="26" fillId="0" borderId="0" xfId="0" applyFont="1" applyAlignment="1">
      <alignment vertical="center"/>
    </xf>
    <xf numFmtId="0" fontId="27" fillId="0" borderId="0" xfId="0" applyFont="1" applyAlignment="1">
      <alignment vertical="center"/>
    </xf>
    <xf numFmtId="0" fontId="13" fillId="0" borderId="0" xfId="0" applyFont="1"/>
    <xf numFmtId="0" fontId="28" fillId="0" borderId="0" xfId="0" applyFont="1" applyAlignment="1">
      <alignment vertical="center"/>
    </xf>
    <xf numFmtId="0" fontId="15" fillId="0" borderId="0" xfId="0" applyFont="1" applyAlignment="1">
      <alignment horizontal="center"/>
    </xf>
    <xf numFmtId="0" fontId="0" fillId="0" borderId="0" xfId="0" applyAlignment="1">
      <alignment horizontal="center"/>
    </xf>
    <xf numFmtId="0" fontId="10" fillId="0" borderId="0" xfId="4"/>
    <xf numFmtId="0" fontId="10" fillId="0" borderId="0" xfId="3" applyFill="1" applyBorder="1" applyAlignment="1"/>
    <xf numFmtId="0" fontId="0" fillId="0" borderId="0" xfId="3" applyFont="1" applyFill="1" applyBorder="1" applyAlignment="1"/>
    <xf numFmtId="0" fontId="10" fillId="0" borderId="0" xfId="4" applyBorder="1" applyAlignment="1"/>
    <xf numFmtId="0" fontId="10" fillId="0" borderId="0" xfId="4"/>
    <xf numFmtId="0" fontId="10" fillId="2" borderId="0" xfId="4" applyFill="1" applyProtection="1"/>
    <xf numFmtId="44" fontId="10" fillId="2" borderId="0" xfId="4" applyNumberFormat="1" applyFill="1" applyProtection="1"/>
    <xf numFmtId="44" fontId="23" fillId="6" borderId="0" xfId="4" applyNumberFormat="1" applyFont="1" applyFill="1" applyBorder="1" applyAlignment="1" applyProtection="1">
      <alignment vertical="center"/>
    </xf>
    <xf numFmtId="0" fontId="23" fillId="6" borderId="0" xfId="4" applyFont="1" applyFill="1" applyBorder="1" applyAlignment="1" applyProtection="1">
      <alignment vertical="center"/>
    </xf>
    <xf numFmtId="0" fontId="10" fillId="2" borderId="0" xfId="4" applyFill="1" applyBorder="1" applyProtection="1"/>
    <xf numFmtId="0" fontId="20" fillId="2" borderId="0" xfId="4" applyFont="1" applyFill="1" applyProtection="1"/>
    <xf numFmtId="44" fontId="21" fillId="2" borderId="0" xfId="4" applyNumberFormat="1" applyFont="1" applyFill="1" applyBorder="1" applyAlignment="1" applyProtection="1">
      <alignment vertical="center"/>
    </xf>
    <xf numFmtId="0" fontId="10" fillId="2" borderId="0" xfId="4" applyFill="1" applyBorder="1" applyAlignment="1" applyProtection="1">
      <alignment horizontal="right" vertical="center"/>
    </xf>
    <xf numFmtId="164" fontId="10" fillId="2" borderId="0" xfId="4" applyNumberFormat="1" applyFill="1" applyBorder="1" applyAlignment="1" applyProtection="1">
      <alignment vertical="center"/>
    </xf>
    <xf numFmtId="0" fontId="10" fillId="2" borderId="0" xfId="4" applyFill="1" applyBorder="1" applyAlignment="1" applyProtection="1">
      <alignment vertical="center"/>
    </xf>
    <xf numFmtId="0" fontId="13" fillId="2" borderId="0" xfId="4" applyFont="1" applyFill="1" applyBorder="1" applyAlignment="1" applyProtection="1">
      <alignment vertical="center"/>
    </xf>
    <xf numFmtId="44" fontId="22" fillId="2" borderId="0" xfId="4" applyNumberFormat="1" applyFont="1" applyFill="1" applyBorder="1" applyAlignment="1" applyProtection="1">
      <alignment vertical="center"/>
    </xf>
    <xf numFmtId="0" fontId="22" fillId="2" borderId="0" xfId="4" applyFont="1" applyFill="1" applyBorder="1" applyAlignment="1" applyProtection="1">
      <alignment vertical="center"/>
    </xf>
    <xf numFmtId="44" fontId="21" fillId="2" borderId="5" xfId="4" applyNumberFormat="1" applyFont="1" applyFill="1" applyBorder="1" applyAlignment="1" applyProtection="1">
      <alignment vertical="center"/>
    </xf>
    <xf numFmtId="0" fontId="10" fillId="2" borderId="9" xfId="4" applyFill="1" applyBorder="1" applyAlignment="1" applyProtection="1">
      <alignment horizontal="right" vertical="center"/>
    </xf>
    <xf numFmtId="164" fontId="10" fillId="2" borderId="9" xfId="4" applyNumberFormat="1" applyFill="1" applyBorder="1" applyAlignment="1" applyProtection="1">
      <alignment vertical="center"/>
    </xf>
    <xf numFmtId="0" fontId="10" fillId="2" borderId="9" xfId="4" applyFill="1" applyBorder="1" applyAlignment="1" applyProtection="1">
      <alignment vertical="center"/>
    </xf>
    <xf numFmtId="0" fontId="13" fillId="2" borderId="8" xfId="4" applyFont="1" applyFill="1" applyBorder="1" applyAlignment="1" applyProtection="1">
      <alignment vertical="center"/>
    </xf>
    <xf numFmtId="44" fontId="19" fillId="2" borderId="5" xfId="4" applyNumberFormat="1" applyFont="1" applyFill="1" applyBorder="1" applyAlignment="1" applyProtection="1">
      <alignment vertical="center"/>
    </xf>
    <xf numFmtId="0" fontId="10" fillId="2" borderId="0" xfId="4" applyFill="1" applyAlignment="1" applyProtection="1">
      <alignment vertical="center"/>
    </xf>
    <xf numFmtId="44" fontId="10" fillId="2" borderId="3" xfId="4" applyNumberFormat="1" applyFill="1" applyBorder="1" applyAlignment="1" applyProtection="1">
      <alignment vertical="center"/>
    </xf>
    <xf numFmtId="0" fontId="10" fillId="2" borderId="7" xfId="4" applyFill="1" applyBorder="1" applyAlignment="1" applyProtection="1">
      <alignment vertical="center"/>
    </xf>
    <xf numFmtId="44" fontId="19" fillId="2" borderId="3" xfId="4" applyNumberFormat="1" applyFont="1" applyFill="1" applyBorder="1" applyAlignment="1" applyProtection="1">
      <alignment vertical="center"/>
    </xf>
    <xf numFmtId="0" fontId="13" fillId="2" borderId="7" xfId="4" applyFont="1" applyFill="1" applyBorder="1" applyAlignment="1" applyProtection="1">
      <alignment vertical="center"/>
    </xf>
    <xf numFmtId="0" fontId="13" fillId="2" borderId="3" xfId="4" applyFont="1" applyFill="1" applyBorder="1" applyAlignment="1" applyProtection="1">
      <alignment horizontal="center"/>
    </xf>
    <xf numFmtId="0" fontId="10" fillId="2" borderId="7" xfId="4" applyFill="1" applyBorder="1" applyProtection="1"/>
    <xf numFmtId="44" fontId="18" fillId="2" borderId="3" xfId="4" applyNumberFormat="1" applyFont="1" applyFill="1" applyBorder="1" applyAlignment="1" applyProtection="1">
      <alignment vertical="center"/>
      <protection locked="0"/>
    </xf>
    <xf numFmtId="0" fontId="17" fillId="2" borderId="4" xfId="4" applyFont="1" applyFill="1" applyBorder="1" applyAlignment="1" applyProtection="1"/>
    <xf numFmtId="0" fontId="17" fillId="2" borderId="6" xfId="4" applyFont="1" applyFill="1" applyBorder="1" applyAlignment="1" applyProtection="1"/>
    <xf numFmtId="0" fontId="0" fillId="0" borderId="12" xfId="0" applyFill="1" applyBorder="1"/>
    <xf numFmtId="0" fontId="13" fillId="9" borderId="16" xfId="0" applyFont="1" applyFill="1" applyBorder="1"/>
    <xf numFmtId="0" fontId="13" fillId="9" borderId="10" xfId="0" applyFont="1" applyFill="1" applyBorder="1"/>
    <xf numFmtId="0" fontId="13" fillId="9" borderId="10" xfId="0" applyFont="1" applyFill="1" applyBorder="1" applyAlignment="1">
      <alignment horizontal="center"/>
    </xf>
    <xf numFmtId="0" fontId="13" fillId="9" borderId="11" xfId="0" applyFont="1" applyFill="1" applyBorder="1" applyAlignment="1">
      <alignment horizontal="center"/>
    </xf>
    <xf numFmtId="0" fontId="0" fillId="0" borderId="25" xfId="0" applyBorder="1" applyAlignment="1">
      <alignment horizontal="left" vertical="center"/>
    </xf>
    <xf numFmtId="0" fontId="0" fillId="0" borderId="25" xfId="0" applyBorder="1" applyAlignment="1">
      <alignment vertical="center"/>
    </xf>
    <xf numFmtId="0" fontId="0" fillId="0" borderId="25" xfId="0" applyFill="1" applyBorder="1" applyAlignment="1">
      <alignment vertical="center" wrapText="1"/>
    </xf>
    <xf numFmtId="0" fontId="13" fillId="0" borderId="25" xfId="0" applyFont="1" applyFill="1" applyBorder="1" applyAlignment="1">
      <alignment vertical="center"/>
    </xf>
    <xf numFmtId="0" fontId="13" fillId="9" borderId="1" xfId="3" applyFont="1" applyFill="1" applyBorder="1" applyAlignment="1"/>
    <xf numFmtId="0" fontId="13" fillId="9" borderId="1" xfId="3" applyFont="1" applyFill="1" applyBorder="1" applyAlignment="1">
      <alignment horizontal="center"/>
    </xf>
    <xf numFmtId="0" fontId="13" fillId="9" borderId="1" xfId="3" applyFont="1" applyFill="1" applyBorder="1" applyAlignment="1">
      <alignment horizontal="center" wrapText="1"/>
    </xf>
    <xf numFmtId="0" fontId="13" fillId="0" borderId="18" xfId="2"/>
    <xf numFmtId="9" fontId="13" fillId="0" borderId="18" xfId="2" applyNumberFormat="1" applyAlignment="1">
      <alignment horizontal="center"/>
    </xf>
    <xf numFmtId="0" fontId="0" fillId="0" borderId="2" xfId="0" applyBorder="1" applyAlignment="1">
      <alignment wrapText="1"/>
    </xf>
    <xf numFmtId="0" fontId="32" fillId="0" borderId="26" xfId="0" applyFont="1" applyFill="1" applyBorder="1" applyAlignment="1">
      <alignment horizontal="center" vertical="center" wrapText="1"/>
    </xf>
    <xf numFmtId="0" fontId="32" fillId="0" borderId="28" xfId="0" applyFont="1" applyFill="1" applyBorder="1" applyAlignment="1">
      <alignment horizontal="center" vertical="center" wrapText="1"/>
    </xf>
    <xf numFmtId="166" fontId="31" fillId="0" borderId="7" xfId="0" applyNumberFormat="1" applyFont="1" applyFill="1" applyBorder="1" applyAlignment="1">
      <alignment horizontal="center" vertical="center" wrapText="1"/>
    </xf>
    <xf numFmtId="165" fontId="30" fillId="0" borderId="0" xfId="0" applyNumberFormat="1" applyFont="1" applyBorder="1" applyAlignment="1">
      <alignment horizontal="left" vertical="center"/>
    </xf>
    <xf numFmtId="0" fontId="30" fillId="0" borderId="0" xfId="0" applyFont="1" applyBorder="1" applyAlignment="1">
      <alignment vertical="center"/>
    </xf>
    <xf numFmtId="166" fontId="31" fillId="0" borderId="0" xfId="0" applyNumberFormat="1" applyFont="1" applyFill="1" applyBorder="1" applyAlignment="1">
      <alignment horizontal="right" vertical="center" wrapText="1"/>
    </xf>
    <xf numFmtId="166" fontId="31" fillId="0" borderId="0" xfId="0" applyNumberFormat="1" applyFont="1" applyFill="1" applyBorder="1" applyAlignment="1">
      <alignment horizontal="center" vertical="center" wrapText="1"/>
    </xf>
    <xf numFmtId="165" fontId="30" fillId="0" borderId="30" xfId="0" applyNumberFormat="1" applyFont="1" applyBorder="1" applyAlignment="1">
      <alignment horizontal="left" vertical="center"/>
    </xf>
    <xf numFmtId="0" fontId="30" fillId="0" borderId="31" xfId="0" applyFont="1" applyBorder="1" applyAlignment="1">
      <alignment vertical="center"/>
    </xf>
    <xf numFmtId="166" fontId="31" fillId="0" borderId="32" xfId="0" applyNumberFormat="1" applyFont="1" applyFill="1" applyBorder="1" applyAlignment="1">
      <alignment horizontal="right" vertical="center" wrapText="1"/>
    </xf>
    <xf numFmtId="3" fontId="0" fillId="0" borderId="0" xfId="0" applyNumberFormat="1"/>
    <xf numFmtId="0" fontId="0" fillId="4" borderId="12" xfId="0" applyFill="1" applyBorder="1"/>
    <xf numFmtId="4" fontId="0" fillId="4" borderId="13" xfId="0" applyNumberFormat="1" applyFill="1" applyBorder="1"/>
    <xf numFmtId="0" fontId="0" fillId="4" borderId="13" xfId="0" applyFill="1" applyBorder="1"/>
    <xf numFmtId="0" fontId="0" fillId="0" borderId="33" xfId="0" applyFill="1" applyBorder="1"/>
    <xf numFmtId="0" fontId="34" fillId="0" borderId="0" xfId="0" applyFont="1" applyAlignment="1">
      <alignment vertical="center"/>
    </xf>
    <xf numFmtId="0" fontId="13" fillId="0" borderId="0" xfId="4" applyFont="1" applyAlignment="1">
      <alignment horizontal="center"/>
    </xf>
    <xf numFmtId="0" fontId="36" fillId="0" borderId="0" xfId="0" applyFont="1" applyAlignment="1">
      <alignment vertical="center"/>
    </xf>
    <xf numFmtId="0" fontId="14" fillId="0" borderId="0" xfId="0" applyFont="1" applyAlignment="1">
      <alignment vertical="center"/>
    </xf>
    <xf numFmtId="0" fontId="37" fillId="0" borderId="0" xfId="0" applyFont="1" applyAlignment="1">
      <alignment vertical="center"/>
    </xf>
    <xf numFmtId="0" fontId="37" fillId="0" borderId="0" xfId="0" applyFont="1"/>
    <xf numFmtId="0" fontId="0" fillId="0" borderId="0" xfId="0" applyFont="1"/>
    <xf numFmtId="0" fontId="0" fillId="0" borderId="0" xfId="0" applyBorder="1"/>
    <xf numFmtId="0" fontId="0" fillId="9" borderId="21" xfId="3" applyFont="1" applyFill="1" applyBorder="1" applyAlignment="1"/>
    <xf numFmtId="4" fontId="38" fillId="0" borderId="25" xfId="0" applyNumberFormat="1" applyFont="1" applyFill="1" applyBorder="1" applyAlignment="1">
      <alignment vertical="center"/>
    </xf>
    <xf numFmtId="10" fontId="38" fillId="0" borderId="25" xfId="0" applyNumberFormat="1" applyFont="1" applyFill="1" applyBorder="1" applyAlignment="1">
      <alignment vertical="center"/>
    </xf>
    <xf numFmtId="0" fontId="0" fillId="2" borderId="0" xfId="3" applyFont="1" applyFill="1" applyBorder="1" applyAlignment="1"/>
    <xf numFmtId="0" fontId="10" fillId="2" borderId="0" xfId="4" applyFill="1" applyBorder="1" applyAlignment="1"/>
    <xf numFmtId="0" fontId="10" fillId="2" borderId="0" xfId="3" applyFill="1" applyBorder="1" applyAlignment="1"/>
    <xf numFmtId="0" fontId="10" fillId="2" borderId="0" xfId="4" applyFill="1"/>
    <xf numFmtId="0" fontId="10" fillId="2" borderId="0" xfId="4" applyFill="1" applyAlignment="1"/>
    <xf numFmtId="167" fontId="8" fillId="0" borderId="18" xfId="2" applyNumberFormat="1" applyFont="1" applyAlignment="1">
      <alignment horizontal="center"/>
    </xf>
    <xf numFmtId="44" fontId="0" fillId="0" borderId="13" xfId="9" applyFont="1" applyBorder="1"/>
    <xf numFmtId="44" fontId="0" fillId="0" borderId="13" xfId="9" applyFont="1" applyFill="1" applyBorder="1"/>
    <xf numFmtId="44" fontId="0" fillId="0" borderId="14" xfId="9" applyFont="1" applyBorder="1"/>
    <xf numFmtId="44" fontId="0" fillId="4" borderId="13" xfId="9" applyFont="1" applyFill="1" applyBorder="1"/>
    <xf numFmtId="44" fontId="0" fillId="4" borderId="14" xfId="9" applyFont="1" applyFill="1" applyBorder="1"/>
    <xf numFmtId="44" fontId="0" fillId="2" borderId="13" xfId="9" applyFont="1" applyFill="1" applyBorder="1"/>
    <xf numFmtId="44" fontId="11" fillId="9" borderId="15" xfId="9" applyFont="1" applyFill="1" applyBorder="1"/>
    <xf numFmtId="44" fontId="0" fillId="0" borderId="41" xfId="9" applyFont="1" applyBorder="1"/>
    <xf numFmtId="44" fontId="0" fillId="0" borderId="0" xfId="0" applyNumberFormat="1"/>
    <xf numFmtId="14" fontId="13" fillId="0" borderId="1" xfId="4" applyNumberFormat="1" applyFont="1" applyFill="1" applyBorder="1" applyAlignment="1">
      <alignment horizontal="center"/>
    </xf>
    <xf numFmtId="0" fontId="0" fillId="0" borderId="0" xfId="0" applyAlignment="1">
      <alignment horizontal="right"/>
    </xf>
    <xf numFmtId="44" fontId="13" fillId="11" borderId="1" xfId="9" applyFont="1" applyFill="1" applyBorder="1" applyAlignment="1">
      <alignment horizontal="center"/>
    </xf>
    <xf numFmtId="14" fontId="13" fillId="11" borderId="1" xfId="4" applyNumberFormat="1" applyFont="1" applyFill="1" applyBorder="1" applyAlignment="1">
      <alignment horizontal="center"/>
    </xf>
    <xf numFmtId="1" fontId="13" fillId="11" borderId="1" xfId="4" applyNumberFormat="1" applyFont="1" applyFill="1" applyBorder="1" applyAlignment="1">
      <alignment horizontal="center"/>
    </xf>
    <xf numFmtId="0" fontId="28" fillId="0" borderId="0" xfId="0" applyFont="1" applyAlignment="1">
      <alignment vertical="center"/>
    </xf>
    <xf numFmtId="0" fontId="15" fillId="0" borderId="0" xfId="0" applyFont="1" applyAlignment="1">
      <alignment horizontal="center"/>
    </xf>
    <xf numFmtId="0" fontId="15" fillId="0" borderId="0" xfId="0" applyFont="1" applyAlignment="1">
      <alignment horizontal="center"/>
    </xf>
    <xf numFmtId="44" fontId="15" fillId="0" borderId="0" xfId="0" applyNumberFormat="1" applyFont="1" applyAlignment="1">
      <alignment horizontal="center"/>
    </xf>
    <xf numFmtId="44" fontId="14" fillId="4" borderId="13" xfId="9" applyFont="1" applyFill="1" applyBorder="1"/>
    <xf numFmtId="4" fontId="0" fillId="4" borderId="0" xfId="0" applyNumberFormat="1" applyFill="1"/>
    <xf numFmtId="0" fontId="0" fillId="0" borderId="0" xfId="0" applyAlignment="1"/>
    <xf numFmtId="14" fontId="13" fillId="11" borderId="2" xfId="4" applyNumberFormat="1" applyFont="1" applyFill="1" applyBorder="1" applyAlignment="1">
      <alignment horizontal="center"/>
    </xf>
    <xf numFmtId="14" fontId="13" fillId="11" borderId="19" xfId="4" applyNumberFormat="1" applyFont="1" applyFill="1" applyBorder="1" applyAlignment="1">
      <alignment horizontal="center"/>
    </xf>
    <xf numFmtId="14" fontId="13" fillId="11" borderId="20" xfId="4" applyNumberFormat="1" applyFont="1" applyFill="1" applyBorder="1" applyAlignment="1">
      <alignment horizontal="center"/>
    </xf>
    <xf numFmtId="0" fontId="0" fillId="0" borderId="0" xfId="0" applyFont="1" applyBorder="1" applyAlignment="1">
      <alignment horizontal="left" vertical="center" wrapText="1"/>
    </xf>
    <xf numFmtId="0" fontId="0" fillId="0" borderId="0" xfId="0" applyFont="1" applyBorder="1" applyAlignment="1">
      <alignment horizontal="left" wrapText="1"/>
    </xf>
    <xf numFmtId="0" fontId="13" fillId="9" borderId="21" xfId="3" applyFont="1" applyFill="1" applyBorder="1" applyAlignment="1"/>
    <xf numFmtId="0" fontId="11" fillId="9" borderId="21" xfId="3" applyFont="1" applyFill="1" applyBorder="1" applyAlignment="1"/>
    <xf numFmtId="0" fontId="11" fillId="0" borderId="0" xfId="3" applyFont="1" applyFill="1" applyBorder="1" applyAlignment="1"/>
    <xf numFmtId="0" fontId="13" fillId="0" borderId="0" xfId="2" applyFill="1" applyBorder="1"/>
    <xf numFmtId="0" fontId="13" fillId="0" borderId="0" xfId="4" applyFont="1" applyAlignment="1">
      <alignment horizontal="left"/>
    </xf>
    <xf numFmtId="0" fontId="10" fillId="0" borderId="0" xfId="4" applyFill="1"/>
    <xf numFmtId="14" fontId="13" fillId="0" borderId="0" xfId="4" applyNumberFormat="1" applyFont="1" applyFill="1" applyBorder="1" applyAlignment="1">
      <alignment horizontal="center"/>
    </xf>
    <xf numFmtId="0" fontId="0" fillId="0" borderId="0" xfId="0" applyFill="1"/>
    <xf numFmtId="4" fontId="24" fillId="10" borderId="38" xfId="0" applyNumberFormat="1" applyFont="1" applyFill="1" applyBorder="1" applyAlignment="1">
      <alignment vertical="center"/>
    </xf>
    <xf numFmtId="0" fontId="13" fillId="0" borderId="0" xfId="4" applyFont="1" applyAlignment="1">
      <alignment horizontal="center"/>
    </xf>
    <xf numFmtId="0" fontId="6" fillId="9" borderId="21" xfId="3" applyFont="1" applyFill="1" applyBorder="1" applyAlignment="1"/>
    <xf numFmtId="2" fontId="0" fillId="0" borderId="0" xfId="0" applyNumberFormat="1"/>
    <xf numFmtId="0" fontId="5" fillId="9" borderId="1" xfId="3" applyFont="1" applyFill="1" applyBorder="1" applyAlignment="1"/>
    <xf numFmtId="0" fontId="39" fillId="0" borderId="18" xfId="2" applyFont="1"/>
    <xf numFmtId="10" fontId="0" fillId="4" borderId="13" xfId="0" applyNumberFormat="1" applyFill="1" applyBorder="1"/>
    <xf numFmtId="0" fontId="0" fillId="4" borderId="33" xfId="0" applyFill="1" applyBorder="1"/>
    <xf numFmtId="166" fontId="40" fillId="0" borderId="29" xfId="0" applyNumberFormat="1" applyFont="1" applyFill="1" applyBorder="1" applyAlignment="1">
      <alignment horizontal="center" vertical="center" wrapText="1"/>
    </xf>
    <xf numFmtId="0" fontId="4" fillId="0" borderId="0" xfId="4" applyFont="1"/>
    <xf numFmtId="0" fontId="3" fillId="9" borderId="1" xfId="3" applyFont="1" applyFill="1" applyBorder="1" applyAlignment="1"/>
    <xf numFmtId="4" fontId="0" fillId="0" borderId="1" xfId="0" applyNumberFormat="1" applyBorder="1" applyAlignment="1">
      <alignment horizontal="center"/>
    </xf>
    <xf numFmtId="0" fontId="0" fillId="0" borderId="0" xfId="0" applyFill="1" applyBorder="1"/>
    <xf numFmtId="0" fontId="11" fillId="0" borderId="0" xfId="0" applyFont="1"/>
    <xf numFmtId="0" fontId="0" fillId="12" borderId="0" xfId="0" applyFill="1"/>
    <xf numFmtId="4" fontId="0" fillId="0" borderId="1" xfId="0" applyNumberFormat="1" applyBorder="1"/>
    <xf numFmtId="4" fontId="0" fillId="11" borderId="1" xfId="0" applyNumberFormat="1" applyFill="1" applyBorder="1"/>
    <xf numFmtId="4" fontId="0" fillId="13" borderId="1" xfId="0" applyNumberFormat="1" applyFill="1" applyBorder="1"/>
    <xf numFmtId="0" fontId="0" fillId="0" borderId="0" xfId="0" applyAlignment="1">
      <alignment vertical="center" wrapText="1"/>
    </xf>
    <xf numFmtId="0" fontId="0" fillId="0" borderId="1" xfId="0" applyBorder="1" applyAlignment="1">
      <alignment wrapText="1"/>
    </xf>
    <xf numFmtId="0" fontId="0" fillId="0" borderId="0" xfId="0" applyAlignment="1">
      <alignment wrapText="1"/>
    </xf>
    <xf numFmtId="0" fontId="11" fillId="0" borderId="0" xfId="0" applyFont="1" applyAlignment="1">
      <alignment horizontal="right"/>
    </xf>
    <xf numFmtId="43" fontId="0" fillId="0" borderId="0" xfId="16" applyFont="1" applyBorder="1"/>
    <xf numFmtId="43" fontId="0" fillId="0" borderId="0" xfId="16" applyFont="1" applyFill="1" applyBorder="1"/>
    <xf numFmtId="0" fontId="0" fillId="0" borderId="0" xfId="0" applyAlignment="1">
      <alignment horizontal="right" wrapText="1" shrinkToFit="1"/>
    </xf>
    <xf numFmtId="9" fontId="0" fillId="0" borderId="0" xfId="0" applyNumberFormat="1"/>
    <xf numFmtId="0" fontId="43" fillId="0" borderId="0" xfId="0" applyFont="1" applyAlignment="1">
      <alignment vertical="center"/>
    </xf>
    <xf numFmtId="4" fontId="13" fillId="0" borderId="0" xfId="0" applyNumberFormat="1" applyFont="1" applyAlignment="1">
      <alignment horizontal="center" vertical="center" wrapText="1"/>
    </xf>
    <xf numFmtId="4" fontId="13" fillId="12" borderId="0" xfId="0" applyNumberFormat="1" applyFont="1" applyFill="1" applyAlignment="1">
      <alignment horizontal="center" vertical="center" wrapText="1"/>
    </xf>
    <xf numFmtId="4" fontId="13" fillId="4" borderId="0" xfId="0" applyNumberFormat="1" applyFont="1" applyFill="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xf>
    <xf numFmtId="4" fontId="0" fillId="12" borderId="0" xfId="0" applyNumberFormat="1" applyFill="1"/>
    <xf numFmtId="10" fontId="0" fillId="0" borderId="13" xfId="0" applyNumberFormat="1" applyBorder="1"/>
    <xf numFmtId="0" fontId="17" fillId="2" borderId="6" xfId="4" applyFont="1" applyFill="1" applyBorder="1"/>
    <xf numFmtId="0" fontId="17" fillId="2" borderId="4" xfId="4" applyFont="1" applyFill="1" applyBorder="1"/>
    <xf numFmtId="0" fontId="10" fillId="2" borderId="7" xfId="4" applyFill="1" applyBorder="1"/>
    <xf numFmtId="0" fontId="13" fillId="2" borderId="3" xfId="4" applyFont="1" applyFill="1" applyBorder="1" applyAlignment="1">
      <alignment horizontal="center"/>
    </xf>
    <xf numFmtId="0" fontId="10" fillId="2" borderId="7" xfId="4" applyFill="1" applyBorder="1" applyAlignment="1">
      <alignment vertical="center"/>
    </xf>
    <xf numFmtId="0" fontId="10" fillId="2" borderId="0" xfId="4" applyFill="1" applyAlignment="1">
      <alignment vertical="center"/>
    </xf>
    <xf numFmtId="44" fontId="10" fillId="2" borderId="3" xfId="4" applyNumberFormat="1" applyFill="1" applyBorder="1" applyAlignment="1">
      <alignment vertical="center"/>
    </xf>
    <xf numFmtId="164" fontId="10" fillId="2" borderId="0" xfId="4" applyNumberFormat="1" applyFill="1" applyAlignment="1">
      <alignment vertical="center"/>
    </xf>
    <xf numFmtId="0" fontId="10" fillId="2" borderId="0" xfId="4" applyFill="1" applyAlignment="1">
      <alignment horizontal="right" vertical="center"/>
    </xf>
    <xf numFmtId="44" fontId="19" fillId="2" borderId="3" xfId="4" applyNumberFormat="1" applyFont="1" applyFill="1" applyBorder="1" applyAlignment="1">
      <alignment vertical="center"/>
    </xf>
    <xf numFmtId="0" fontId="13" fillId="2" borderId="7" xfId="4" applyFont="1" applyFill="1" applyBorder="1" applyAlignment="1">
      <alignment vertical="center"/>
    </xf>
    <xf numFmtId="0" fontId="13" fillId="2" borderId="8" xfId="4" applyFont="1" applyFill="1" applyBorder="1" applyAlignment="1">
      <alignment vertical="center"/>
    </xf>
    <xf numFmtId="44" fontId="19" fillId="2" borderId="5" xfId="4" applyNumberFormat="1" applyFont="1" applyFill="1" applyBorder="1" applyAlignment="1">
      <alignment vertical="center"/>
    </xf>
    <xf numFmtId="0" fontId="20" fillId="2" borderId="0" xfId="4" applyFont="1" applyFill="1"/>
    <xf numFmtId="0" fontId="10" fillId="2" borderId="9" xfId="4" applyFill="1" applyBorder="1" applyAlignment="1">
      <alignment vertical="center"/>
    </xf>
    <xf numFmtId="164" fontId="10" fillId="2" borderId="9" xfId="4" applyNumberFormat="1" applyFill="1" applyBorder="1" applyAlignment="1">
      <alignment vertical="center"/>
    </xf>
    <xf numFmtId="0" fontId="10" fillId="2" borderId="9" xfId="4" applyFill="1" applyBorder="1" applyAlignment="1">
      <alignment horizontal="right" vertical="center"/>
    </xf>
    <xf numFmtId="44" fontId="21" fillId="2" borderId="5" xfId="4" applyNumberFormat="1" applyFont="1" applyFill="1" applyBorder="1" applyAlignment="1">
      <alignment vertical="center"/>
    </xf>
    <xf numFmtId="0" fontId="22" fillId="2" borderId="0" xfId="4" applyFont="1" applyFill="1" applyAlignment="1">
      <alignment vertical="center"/>
    </xf>
    <xf numFmtId="44" fontId="22" fillId="2" borderId="0" xfId="4" applyNumberFormat="1" applyFont="1" applyFill="1" applyAlignment="1">
      <alignment vertical="center"/>
    </xf>
    <xf numFmtId="0" fontId="13" fillId="2" borderId="0" xfId="4" applyFont="1" applyFill="1" applyAlignment="1">
      <alignment vertical="center"/>
    </xf>
    <xf numFmtId="44" fontId="21" fillId="2" borderId="0" xfId="4" applyNumberFormat="1" applyFont="1" applyFill="1" applyAlignment="1">
      <alignment vertical="center"/>
    </xf>
    <xf numFmtId="44" fontId="10" fillId="2" borderId="0" xfId="4" applyNumberFormat="1" applyFill="1"/>
    <xf numFmtId="0" fontId="23" fillId="6" borderId="0" xfId="4" applyFont="1" applyFill="1" applyAlignment="1">
      <alignment vertical="center"/>
    </xf>
    <xf numFmtId="44" fontId="23" fillId="6" borderId="0" xfId="4" applyNumberFormat="1" applyFont="1" applyFill="1" applyAlignment="1">
      <alignment vertical="center"/>
    </xf>
    <xf numFmtId="0" fontId="2" fillId="0" borderId="0" xfId="4" applyFont="1"/>
    <xf numFmtId="14" fontId="13" fillId="11" borderId="2" xfId="4" applyNumberFormat="1" applyFont="1" applyFill="1" applyBorder="1" applyAlignment="1">
      <alignment horizontal="center"/>
    </xf>
    <xf numFmtId="14" fontId="13" fillId="11" borderId="19" xfId="4" applyNumberFormat="1" applyFont="1" applyFill="1" applyBorder="1" applyAlignment="1">
      <alignment horizontal="center"/>
    </xf>
    <xf numFmtId="14" fontId="13" fillId="11" borderId="20" xfId="4" applyNumberFormat="1" applyFont="1" applyFill="1" applyBorder="1" applyAlignment="1">
      <alignment horizontal="center"/>
    </xf>
    <xf numFmtId="0" fontId="11" fillId="5" borderId="0" xfId="0" applyFont="1" applyFill="1" applyAlignment="1">
      <alignment horizontal="center" wrapText="1"/>
    </xf>
    <xf numFmtId="0" fontId="13" fillId="0" borderId="0" xfId="4" applyFont="1" applyAlignment="1">
      <alignment horizontal="center"/>
    </xf>
    <xf numFmtId="0" fontId="0" fillId="0" borderId="0" xfId="0" applyAlignment="1"/>
    <xf numFmtId="0" fontId="0" fillId="0" borderId="0" xfId="0" applyFont="1" applyAlignment="1">
      <alignment horizontal="justify" vertical="center"/>
    </xf>
    <xf numFmtId="0" fontId="0" fillId="0" borderId="0" xfId="0" applyFont="1" applyAlignment="1"/>
    <xf numFmtId="0" fontId="0" fillId="0" borderId="0" xfId="0" applyFont="1" applyBorder="1" applyAlignment="1">
      <alignment horizontal="left" vertical="center" wrapText="1"/>
    </xf>
    <xf numFmtId="0" fontId="0" fillId="0" borderId="0" xfId="0" applyFont="1" applyBorder="1" applyAlignment="1">
      <alignment horizontal="left" wrapText="1"/>
    </xf>
    <xf numFmtId="0" fontId="13" fillId="11" borderId="0" xfId="4" applyFont="1" applyFill="1" applyAlignment="1">
      <alignment horizontal="center" wrapText="1"/>
    </xf>
    <xf numFmtId="14" fontId="13" fillId="11" borderId="2" xfId="4" applyNumberFormat="1" applyFont="1" applyFill="1" applyBorder="1" applyAlignment="1">
      <alignment horizontal="center" wrapText="1"/>
    </xf>
    <xf numFmtId="14" fontId="13" fillId="11" borderId="19" xfId="4" applyNumberFormat="1" applyFont="1" applyFill="1" applyBorder="1" applyAlignment="1">
      <alignment horizontal="center" wrapText="1"/>
    </xf>
    <xf numFmtId="14" fontId="13" fillId="11" borderId="20" xfId="4" applyNumberFormat="1" applyFont="1" applyFill="1" applyBorder="1" applyAlignment="1">
      <alignment horizontal="center" wrapText="1"/>
    </xf>
    <xf numFmtId="0" fontId="0" fillId="0" borderId="0" xfId="0" applyAlignment="1">
      <alignment horizontal="left" vertical="center" wrapText="1"/>
    </xf>
    <xf numFmtId="0" fontId="0" fillId="0" borderId="0" xfId="0" applyAlignment="1">
      <alignment horizontal="left" wrapText="1"/>
    </xf>
    <xf numFmtId="0" fontId="13" fillId="0" borderId="0" xfId="3" applyFont="1" applyFill="1" applyBorder="1" applyAlignment="1">
      <alignment horizontal="center"/>
    </xf>
    <xf numFmtId="0" fontId="0" fillId="0" borderId="0" xfId="0" applyBorder="1" applyAlignment="1"/>
    <xf numFmtId="0" fontId="11" fillId="9" borderId="1" xfId="3" applyFont="1" applyFill="1" applyBorder="1" applyAlignment="1">
      <alignment horizontal="center"/>
    </xf>
    <xf numFmtId="0" fontId="13" fillId="3" borderId="25" xfId="0" applyFont="1" applyFill="1" applyBorder="1" applyAlignment="1">
      <alignment horizontal="center" vertical="center"/>
    </xf>
    <xf numFmtId="0" fontId="0" fillId="3" borderId="25" xfId="0" applyFill="1" applyBorder="1" applyAlignment="1">
      <alignment horizontal="center" vertical="center"/>
    </xf>
    <xf numFmtId="0" fontId="0" fillId="0" borderId="0" xfId="0" applyFill="1" applyBorder="1" applyAlignment="1">
      <alignment horizontal="center"/>
    </xf>
    <xf numFmtId="4" fontId="0" fillId="0" borderId="0" xfId="0" applyNumberFormat="1" applyFill="1" applyBorder="1" applyAlignment="1">
      <alignment horizontal="center"/>
    </xf>
    <xf numFmtId="0" fontId="13" fillId="0" borderId="0" xfId="2" applyFill="1" applyBorder="1" applyAlignment="1">
      <alignment horizontal="center"/>
    </xf>
    <xf numFmtId="0" fontId="13" fillId="0" borderId="0" xfId="2" applyFill="1" applyBorder="1" applyAlignment="1"/>
    <xf numFmtId="0" fontId="33" fillId="0" borderId="36" xfId="0" applyFont="1" applyBorder="1" applyAlignment="1">
      <alignment horizontal="left" vertical="top" wrapText="1"/>
    </xf>
    <xf numFmtId="0" fontId="33" fillId="0" borderId="37" xfId="0" applyFont="1" applyBorder="1" applyAlignment="1">
      <alignment horizontal="left" vertical="top" wrapText="1"/>
    </xf>
    <xf numFmtId="0" fontId="33" fillId="0" borderId="38" xfId="0" applyFont="1" applyBorder="1" applyAlignment="1">
      <alignment horizontal="left" vertical="top" wrapText="1"/>
    </xf>
    <xf numFmtId="0" fontId="33" fillId="0" borderId="39" xfId="0" applyFont="1" applyBorder="1" applyAlignment="1">
      <alignment horizontal="left" vertical="top" wrapText="1"/>
    </xf>
    <xf numFmtId="0" fontId="29" fillId="0" borderId="0" xfId="0" applyFont="1" applyFill="1" applyBorder="1" applyAlignment="1">
      <alignment horizontal="center" vertical="center" wrapText="1"/>
    </xf>
    <xf numFmtId="0" fontId="0" fillId="0" borderId="0" xfId="0" applyFill="1" applyBorder="1" applyAlignment="1">
      <alignment horizontal="left" wrapText="1"/>
    </xf>
    <xf numFmtId="0" fontId="33" fillId="0" borderId="36" xfId="0" applyFont="1" applyBorder="1" applyAlignment="1">
      <alignment vertical="top" wrapText="1"/>
    </xf>
    <xf numFmtId="0" fontId="33" fillId="0" borderId="37" xfId="0" applyFont="1" applyBorder="1" applyAlignment="1">
      <alignment vertical="top" wrapText="1"/>
    </xf>
    <xf numFmtId="0" fontId="33" fillId="0" borderId="34" xfId="0" applyFont="1" applyBorder="1" applyAlignment="1">
      <alignment vertical="top" wrapText="1"/>
    </xf>
    <xf numFmtId="0" fontId="33" fillId="0" borderId="35" xfId="0" applyFont="1" applyBorder="1" applyAlignment="1">
      <alignment vertical="top" wrapText="1"/>
    </xf>
    <xf numFmtId="0" fontId="11" fillId="0" borderId="0" xfId="0" applyFont="1" applyAlignment="1">
      <alignment horizontal="center" vertical="center" wrapText="1"/>
    </xf>
    <xf numFmtId="0" fontId="11" fillId="7" borderId="0" xfId="0" applyFont="1" applyFill="1" applyAlignment="1">
      <alignment wrapText="1"/>
    </xf>
    <xf numFmtId="0" fontId="11" fillId="0" borderId="22" xfId="0" applyFont="1" applyBorder="1" applyAlignment="1"/>
    <xf numFmtId="0" fontId="11" fillId="0" borderId="23" xfId="0" applyFont="1" applyBorder="1" applyAlignment="1"/>
    <xf numFmtId="0" fontId="11" fillId="0" borderId="24" xfId="0" applyFont="1" applyBorder="1" applyAlignment="1"/>
    <xf numFmtId="0" fontId="15" fillId="0" borderId="0" xfId="0" applyFont="1" applyAlignment="1">
      <alignment horizontal="center"/>
    </xf>
    <xf numFmtId="0" fontId="32" fillId="0" borderId="40"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7" xfId="0" applyBorder="1" applyAlignment="1">
      <alignment horizontal="left" vertical="center" wrapText="1"/>
    </xf>
    <xf numFmtId="0" fontId="0" fillId="0" borderId="0" xfId="0" applyAlignment="1">
      <alignment horizontal="center"/>
    </xf>
    <xf numFmtId="0" fontId="35" fillId="0" borderId="0" xfId="0" applyFont="1" applyAlignment="1">
      <alignment vertical="center" wrapText="1"/>
    </xf>
    <xf numFmtId="0" fontId="11" fillId="0" borderId="0" xfId="0" applyFont="1" applyAlignment="1">
      <alignment wrapText="1"/>
    </xf>
    <xf numFmtId="0" fontId="11" fillId="0" borderId="0" xfId="0" applyFont="1" applyAlignment="1">
      <alignment horizontal="center"/>
    </xf>
    <xf numFmtId="0" fontId="11" fillId="0" borderId="2" xfId="0" applyFont="1" applyBorder="1" applyAlignment="1">
      <alignment horizontal="center"/>
    </xf>
    <xf numFmtId="0" fontId="11" fillId="0" borderId="19" xfId="0" applyFont="1" applyBorder="1" applyAlignment="1">
      <alignment horizontal="center"/>
    </xf>
    <xf numFmtId="0" fontId="11" fillId="0" borderId="20" xfId="0" applyFont="1" applyBorder="1" applyAlignment="1">
      <alignment horizontal="center"/>
    </xf>
    <xf numFmtId="4" fontId="0" fillId="0" borderId="0" xfId="0" applyNumberFormat="1" applyAlignment="1">
      <alignment horizontal="left" vertical="center" wrapText="1"/>
    </xf>
    <xf numFmtId="0" fontId="0" fillId="0" borderId="17" xfId="0" applyBorder="1" applyAlignment="1">
      <alignment horizontal="center" wrapText="1"/>
    </xf>
    <xf numFmtId="4" fontId="0" fillId="14" borderId="42" xfId="0" applyNumberFormat="1" applyFill="1" applyBorder="1" applyAlignment="1">
      <alignment horizontal="center"/>
    </xf>
    <xf numFmtId="0" fontId="0" fillId="14" borderId="43" xfId="0" applyFill="1" applyBorder="1" applyAlignment="1">
      <alignment horizontal="center"/>
    </xf>
    <xf numFmtId="0" fontId="25" fillId="2" borderId="0" xfId="4" applyFont="1" applyFill="1" applyBorder="1" applyAlignment="1" applyProtection="1">
      <alignment horizontal="center" vertical="center"/>
    </xf>
    <xf numFmtId="0" fontId="17" fillId="2" borderId="6" xfId="4" applyFont="1" applyFill="1" applyBorder="1" applyAlignment="1" applyProtection="1">
      <alignment horizontal="center"/>
    </xf>
    <xf numFmtId="0" fontId="17" fillId="2" borderId="17" xfId="4" applyFont="1" applyFill="1" applyBorder="1" applyAlignment="1" applyProtection="1">
      <alignment horizontal="center"/>
    </xf>
    <xf numFmtId="0" fontId="17" fillId="2" borderId="4" xfId="4" applyFont="1" applyFill="1" applyBorder="1" applyAlignment="1" applyProtection="1">
      <alignment horizontal="center"/>
    </xf>
    <xf numFmtId="0" fontId="17" fillId="2" borderId="7" xfId="4" applyFont="1" applyFill="1" applyBorder="1" applyAlignment="1" applyProtection="1">
      <alignment horizontal="center"/>
    </xf>
    <xf numFmtId="0" fontId="17" fillId="2" borderId="0" xfId="4" applyFont="1" applyFill="1" applyBorder="1" applyAlignment="1" applyProtection="1">
      <alignment horizontal="center"/>
    </xf>
    <xf numFmtId="0" fontId="17" fillId="2" borderId="3" xfId="4" applyFont="1" applyFill="1" applyBorder="1" applyAlignment="1" applyProtection="1">
      <alignment horizontal="center"/>
    </xf>
    <xf numFmtId="0" fontId="25" fillId="2" borderId="0" xfId="4" applyFont="1" applyFill="1" applyAlignment="1">
      <alignment horizontal="center" vertical="center"/>
    </xf>
    <xf numFmtId="0" fontId="17" fillId="2" borderId="6" xfId="4" applyFont="1" applyFill="1" applyBorder="1" applyAlignment="1">
      <alignment horizontal="center"/>
    </xf>
    <xf numFmtId="0" fontId="17" fillId="2" borderId="17" xfId="4" applyFont="1" applyFill="1" applyBorder="1" applyAlignment="1">
      <alignment horizontal="center"/>
    </xf>
    <xf numFmtId="0" fontId="17" fillId="2" borderId="4" xfId="4" applyFont="1" applyFill="1" applyBorder="1" applyAlignment="1">
      <alignment horizontal="center"/>
    </xf>
    <xf numFmtId="0" fontId="17" fillId="2" borderId="7" xfId="4" applyFont="1" applyFill="1" applyBorder="1" applyAlignment="1">
      <alignment horizontal="center"/>
    </xf>
    <xf numFmtId="0" fontId="17" fillId="2" borderId="0" xfId="4" applyFont="1" applyFill="1" applyAlignment="1">
      <alignment horizontal="center"/>
    </xf>
    <xf numFmtId="0" fontId="17" fillId="2" borderId="3" xfId="4" applyFont="1" applyFill="1" applyBorder="1" applyAlignment="1">
      <alignment horizontal="center"/>
    </xf>
    <xf numFmtId="0" fontId="13" fillId="0" borderId="0" xfId="0" applyFont="1" applyAlignment="1">
      <alignment horizontal="center" vertical="center" wrapText="1"/>
    </xf>
    <xf numFmtId="0" fontId="13" fillId="0" borderId="0" xfId="0" applyFont="1" applyAlignment="1">
      <alignment horizontal="center"/>
    </xf>
  </cellXfs>
  <cellStyles count="17">
    <cellStyle name="20% - Accent1 2" xfId="11" xr:uid="{00000000-0005-0000-0000-000001000000}"/>
    <cellStyle name="20% - Cor1" xfId="3" builtinId="30"/>
    <cellStyle name="Currency 2" xfId="5" xr:uid="{00000000-0005-0000-0000-000003000000}"/>
    <cellStyle name="Currency 2 2" xfId="13" xr:uid="{00000000-0005-0000-0000-000004000000}"/>
    <cellStyle name="Moeda" xfId="9" builtinId="4"/>
    <cellStyle name="Normal" xfId="0" builtinId="0"/>
    <cellStyle name="Normal 2" xfId="1" xr:uid="{00000000-0005-0000-0000-000007000000}"/>
    <cellStyle name="Normal 2 2" xfId="8" xr:uid="{00000000-0005-0000-0000-000008000000}"/>
    <cellStyle name="Normal 2 3" xfId="10" xr:uid="{00000000-0005-0000-0000-000009000000}"/>
    <cellStyle name="Normal 3" xfId="4" xr:uid="{00000000-0005-0000-0000-00000A000000}"/>
    <cellStyle name="Normal 3 2" xfId="12" xr:uid="{00000000-0005-0000-0000-00000B000000}"/>
    <cellStyle name="Normal 4" xfId="7" xr:uid="{00000000-0005-0000-0000-00000C000000}"/>
    <cellStyle name="Normal 4 2" xfId="15" xr:uid="{00000000-0005-0000-0000-00000D000000}"/>
    <cellStyle name="Percent 2" xfId="6" xr:uid="{00000000-0005-0000-0000-00000E000000}"/>
    <cellStyle name="Percent 2 2" xfId="14" xr:uid="{00000000-0005-0000-0000-00000F000000}"/>
    <cellStyle name="Total" xfId="2" builtinId="25"/>
    <cellStyle name="Vírgula" xfId="16" builtinId="3"/>
  </cellStyles>
  <dxfs count="5">
    <dxf>
      <font>
        <b/>
        <i val="0"/>
        <condense val="0"/>
        <extend val="0"/>
      </font>
    </dxf>
    <dxf>
      <font>
        <b val="0"/>
        <i/>
        <condense val="0"/>
        <extend val="0"/>
      </font>
      <fill>
        <patternFill patternType="none">
          <bgColor indexed="65"/>
        </patternFill>
      </fill>
    </dxf>
    <dxf>
      <font>
        <b/>
        <i val="0"/>
        <condense val="0"/>
        <extend val="0"/>
      </font>
    </dxf>
    <dxf>
      <font>
        <b val="0"/>
        <i/>
        <condense val="0"/>
        <extend val="0"/>
      </font>
      <fill>
        <patternFill patternType="none">
          <bgColor indexed="65"/>
        </patternFill>
      </fill>
    </dxf>
    <dxf>
      <font>
        <b/>
        <i val="0"/>
        <color rgb="FFFF000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50</xdr:row>
      <xdr:rowOff>161925</xdr:rowOff>
    </xdr:from>
    <xdr:to>
      <xdr:col>5</xdr:col>
      <xdr:colOff>637380</xdr:colOff>
      <xdr:row>77</xdr:row>
      <xdr:rowOff>94615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76200" y="9077325"/>
          <a:ext cx="6361905" cy="5076190"/>
        </a:xfrm>
        <a:prstGeom prst="rect">
          <a:avLst/>
        </a:prstGeom>
      </xdr:spPr>
    </xdr:pic>
    <xdr:clientData/>
  </xdr:twoCellAnchor>
  <xdr:twoCellAnchor editAs="oneCell">
    <xdr:from>
      <xdr:col>0</xdr:col>
      <xdr:colOff>0</xdr:colOff>
      <xdr:row>77</xdr:row>
      <xdr:rowOff>57150</xdr:rowOff>
    </xdr:from>
    <xdr:to>
      <xdr:col>5</xdr:col>
      <xdr:colOff>942132</xdr:colOff>
      <xdr:row>83</xdr:row>
      <xdr:rowOff>28436</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0" y="14116050"/>
          <a:ext cx="6742857" cy="1114286"/>
        </a:xfrm>
        <a:prstGeom prst="rect">
          <a:avLst/>
        </a:prstGeom>
      </xdr:spPr>
    </xdr:pic>
    <xdr:clientData/>
  </xdr:twoCellAnchor>
  <xdr:twoCellAnchor editAs="oneCell">
    <xdr:from>
      <xdr:col>5</xdr:col>
      <xdr:colOff>1143000</xdr:colOff>
      <xdr:row>51</xdr:row>
      <xdr:rowOff>133350</xdr:rowOff>
    </xdr:from>
    <xdr:to>
      <xdr:col>8</xdr:col>
      <xdr:colOff>2313775</xdr:colOff>
      <xdr:row>64</xdr:row>
      <xdr:rowOff>123517</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6943725" y="9239250"/>
          <a:ext cx="6400000" cy="2466667"/>
        </a:xfrm>
        <a:prstGeom prst="rect">
          <a:avLst/>
        </a:prstGeom>
      </xdr:spPr>
    </xdr:pic>
    <xdr:clientData/>
  </xdr:twoCellAnchor>
  <xdr:twoCellAnchor editAs="oneCell">
    <xdr:from>
      <xdr:col>0</xdr:col>
      <xdr:colOff>144781</xdr:colOff>
      <xdr:row>0</xdr:row>
      <xdr:rowOff>91440</xdr:rowOff>
    </xdr:from>
    <xdr:to>
      <xdr:col>1</xdr:col>
      <xdr:colOff>922021</xdr:colOff>
      <xdr:row>4</xdr:row>
      <xdr:rowOff>38100</xdr:rowOff>
    </xdr:to>
    <xdr:pic>
      <xdr:nvPicPr>
        <xdr:cNvPr id="10" name="Picture 4">
          <a:extLst>
            <a:ext uri="{FF2B5EF4-FFF2-40B4-BE49-F238E27FC236}">
              <a16:creationId xmlns:a16="http://schemas.microsoft.com/office/drawing/2014/main" id="{D75735D4-DAE1-4E33-9575-119CE08B6AB6}"/>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144781" y="91440"/>
          <a:ext cx="1402080" cy="6781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457201</xdr:colOff>
      <xdr:row>15</xdr:row>
      <xdr:rowOff>121920</xdr:rowOff>
    </xdr:from>
    <xdr:to>
      <xdr:col>5</xdr:col>
      <xdr:colOff>327661</xdr:colOff>
      <xdr:row>51</xdr:row>
      <xdr:rowOff>470</xdr:rowOff>
    </xdr:to>
    <xdr:pic>
      <xdr:nvPicPr>
        <xdr:cNvPr id="3" name="Picture 1">
          <a:extLst>
            <a:ext uri="{FF2B5EF4-FFF2-40B4-BE49-F238E27FC236}">
              <a16:creationId xmlns:a16="http://schemas.microsoft.com/office/drawing/2014/main" id="{0E952AB8-CD9E-4488-B1B7-A851ABE1BFFC}"/>
            </a:ext>
          </a:extLst>
        </xdr:cNvPr>
        <xdr:cNvPicPr>
          <a:picLocks noChangeAspect="1"/>
        </xdr:cNvPicPr>
      </xdr:nvPicPr>
      <xdr:blipFill>
        <a:blip xmlns:r="http://schemas.openxmlformats.org/officeDocument/2006/relationships" r:embed="rId1"/>
        <a:stretch>
          <a:fillRect/>
        </a:stretch>
      </xdr:blipFill>
      <xdr:spPr>
        <a:xfrm>
          <a:off x="693421" y="4541520"/>
          <a:ext cx="6606540" cy="5905970"/>
        </a:xfrm>
        <a:prstGeom prst="rect">
          <a:avLst/>
        </a:prstGeom>
        <a:ln>
          <a:solidFill>
            <a:schemeClr val="bg2"/>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356236</xdr:colOff>
      <xdr:row>28</xdr:row>
      <xdr:rowOff>154958</xdr:rowOff>
    </xdr:from>
    <xdr:to>
      <xdr:col>15</xdr:col>
      <xdr:colOff>233229</xdr:colOff>
      <xdr:row>38</xdr:row>
      <xdr:rowOff>133111</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xfrm>
          <a:off x="9324976" y="5374658"/>
          <a:ext cx="4281353" cy="1730753"/>
        </a:xfrm>
        <a:prstGeom prst="rect">
          <a:avLst/>
        </a:prstGeom>
      </xdr:spPr>
    </xdr:pic>
    <xdr:clientData/>
  </xdr:twoCellAnchor>
  <xdr:twoCellAnchor>
    <xdr:from>
      <xdr:col>12</xdr:col>
      <xdr:colOff>142875</xdr:colOff>
      <xdr:row>2</xdr:row>
      <xdr:rowOff>19050</xdr:rowOff>
    </xdr:from>
    <xdr:to>
      <xdr:col>18</xdr:col>
      <xdr:colOff>37681</xdr:colOff>
      <xdr:row>36</xdr:row>
      <xdr:rowOff>123586</xdr:rowOff>
    </xdr:to>
    <xdr:grpSp>
      <xdr:nvGrpSpPr>
        <xdr:cNvPr id="5" name="Group 3">
          <a:extLst>
            <a:ext uri="{FF2B5EF4-FFF2-40B4-BE49-F238E27FC236}">
              <a16:creationId xmlns:a16="http://schemas.microsoft.com/office/drawing/2014/main" id="{1C181719-2EC0-4593-A4EA-51DCDC0C07C1}"/>
            </a:ext>
          </a:extLst>
        </xdr:cNvPr>
        <xdr:cNvGrpSpPr/>
      </xdr:nvGrpSpPr>
      <xdr:grpSpPr>
        <a:xfrm>
          <a:off x="11755755" y="453390"/>
          <a:ext cx="3415246" cy="6291976"/>
          <a:chOff x="10201275" y="438150"/>
          <a:chExt cx="3380956" cy="7153036"/>
        </a:xfrm>
      </xdr:grpSpPr>
      <xdr:pic>
        <xdr:nvPicPr>
          <xdr:cNvPr id="6" name="Picture 1">
            <a:extLst>
              <a:ext uri="{FF2B5EF4-FFF2-40B4-BE49-F238E27FC236}">
                <a16:creationId xmlns:a16="http://schemas.microsoft.com/office/drawing/2014/main" id="{2A7828D3-2ADC-4DD9-901E-9C716FB69DA6}"/>
              </a:ext>
            </a:extLst>
          </xdr:cNvPr>
          <xdr:cNvPicPr>
            <a:picLocks noChangeAspect="1"/>
          </xdr:cNvPicPr>
        </xdr:nvPicPr>
        <xdr:blipFill>
          <a:blip xmlns:r="http://schemas.openxmlformats.org/officeDocument/2006/relationships" r:embed="rId2"/>
          <a:stretch>
            <a:fillRect/>
          </a:stretch>
        </xdr:blipFill>
        <xdr:spPr>
          <a:xfrm>
            <a:off x="10229850" y="438150"/>
            <a:ext cx="3352381" cy="5247619"/>
          </a:xfrm>
          <a:prstGeom prst="rect">
            <a:avLst/>
          </a:prstGeom>
        </xdr:spPr>
      </xdr:pic>
      <xdr:pic>
        <xdr:nvPicPr>
          <xdr:cNvPr id="7" name="Picture 2">
            <a:extLst>
              <a:ext uri="{FF2B5EF4-FFF2-40B4-BE49-F238E27FC236}">
                <a16:creationId xmlns:a16="http://schemas.microsoft.com/office/drawing/2014/main" id="{14A94110-6066-47F8-869B-DF26013D4099}"/>
              </a:ext>
            </a:extLst>
          </xdr:cNvPr>
          <xdr:cNvPicPr>
            <a:picLocks noChangeAspect="1"/>
          </xdr:cNvPicPr>
        </xdr:nvPicPr>
        <xdr:blipFill>
          <a:blip xmlns:r="http://schemas.openxmlformats.org/officeDocument/2006/relationships" r:embed="rId1"/>
          <a:stretch>
            <a:fillRect/>
          </a:stretch>
        </xdr:blipFill>
        <xdr:spPr>
          <a:xfrm>
            <a:off x="10201275" y="5676900"/>
            <a:ext cx="3371429" cy="1914286"/>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f/i/fin-dp-apn-nicdt/GERAL_NEP_ICDT/Candidaturas%20Projetos/Ficheiros_orcamento/PEX_2024_25_IST_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ício_Informações "/>
      <sheetName val="RESUMO ORÇAMENTO IST-ID"/>
      <sheetName val="Contrato Doutorado (DL 57_2016)"/>
      <sheetName val="Contrato Carreira Técnico Sup."/>
      <sheetName val="Bolsas"/>
      <sheetName val="Cálculo Seg. acidentes trabalho"/>
      <sheetName val="Nivel Remuneratório Doutorado"/>
    </sheetNames>
    <sheetDataSet>
      <sheetData sheetId="0"/>
      <sheetData sheetId="1"/>
      <sheetData sheetId="2">
        <row r="6">
          <cell r="B6">
            <v>2351.530502071023</v>
          </cell>
        </row>
      </sheetData>
      <sheetData sheetId="3"/>
      <sheetData sheetId="4"/>
      <sheetData sheetId="5"/>
      <sheetData sheetId="6">
        <row r="4">
          <cell r="H4">
            <v>2351.530502071023</v>
          </cell>
          <cell r="I4">
            <v>33</v>
          </cell>
        </row>
        <row r="5">
          <cell r="H5">
            <v>2405.7397758912921</v>
          </cell>
          <cell r="I5">
            <v>34</v>
          </cell>
        </row>
        <row r="6">
          <cell r="H6">
            <v>2459.9490497115612</v>
          </cell>
          <cell r="I6">
            <v>35</v>
          </cell>
        </row>
        <row r="7">
          <cell r="H7">
            <v>2514.1583235318303</v>
          </cell>
          <cell r="I7">
            <v>36</v>
          </cell>
        </row>
        <row r="8">
          <cell r="H8">
            <v>2568.3781254689802</v>
          </cell>
          <cell r="I8">
            <v>37</v>
          </cell>
        </row>
        <row r="9">
          <cell r="H9">
            <v>2622.5873992892489</v>
          </cell>
          <cell r="I9">
            <v>38</v>
          </cell>
        </row>
        <row r="10">
          <cell r="H10">
            <v>2676.796673109518</v>
          </cell>
          <cell r="I10">
            <v>39</v>
          </cell>
        </row>
        <row r="11">
          <cell r="H11">
            <v>2731.0059469297862</v>
          </cell>
          <cell r="I11">
            <v>40</v>
          </cell>
        </row>
        <row r="12">
          <cell r="H12">
            <v>2787.3008779961824</v>
          </cell>
          <cell r="I12">
            <v>41</v>
          </cell>
        </row>
        <row r="13">
          <cell r="H13">
            <v>2843.0468955561055</v>
          </cell>
          <cell r="I13">
            <v>42</v>
          </cell>
        </row>
        <row r="14">
          <cell r="H14">
            <v>2899.5401337884805</v>
          </cell>
          <cell r="I14">
            <v>43</v>
          </cell>
        </row>
        <row r="15">
          <cell r="H15">
            <v>2956.0224024600325</v>
          </cell>
          <cell r="I15">
            <v>44</v>
          </cell>
        </row>
        <row r="16">
          <cell r="H16">
            <v>3012.5046711315858</v>
          </cell>
          <cell r="I16">
            <v>45</v>
          </cell>
        </row>
        <row r="17">
          <cell r="H17">
            <v>3068.9869398031392</v>
          </cell>
          <cell r="I17">
            <v>46</v>
          </cell>
        </row>
        <row r="18">
          <cell r="H18">
            <v>3125.4692084746916</v>
          </cell>
          <cell r="I18">
            <v>47</v>
          </cell>
        </row>
        <row r="19">
          <cell r="H19">
            <v>3181.9624467070666</v>
          </cell>
          <cell r="I19">
            <v>48</v>
          </cell>
        </row>
        <row r="20">
          <cell r="H20">
            <v>3238.4447153786205</v>
          </cell>
          <cell r="I20">
            <v>49</v>
          </cell>
        </row>
        <row r="21">
          <cell r="H21">
            <v>3294.9269840501725</v>
          </cell>
          <cell r="I21">
            <v>50</v>
          </cell>
        </row>
        <row r="22">
          <cell r="H22">
            <v>3351.4092527217254</v>
          </cell>
          <cell r="I22">
            <v>51</v>
          </cell>
        </row>
        <row r="23">
          <cell r="H23">
            <v>3407.8915213932778</v>
          </cell>
          <cell r="I23">
            <v>52</v>
          </cell>
        </row>
        <row r="24">
          <cell r="H24">
            <v>3464.3847596256533</v>
          </cell>
          <cell r="I24">
            <v>53</v>
          </cell>
        </row>
        <row r="25">
          <cell r="H25">
            <v>3520.8670282972066</v>
          </cell>
          <cell r="I25">
            <v>54</v>
          </cell>
        </row>
        <row r="26">
          <cell r="H26">
            <v>3577.4589925769774</v>
          </cell>
          <cell r="I26">
            <v>55</v>
          </cell>
        </row>
        <row r="27">
          <cell r="H27">
            <v>3633.8315656403115</v>
          </cell>
          <cell r="I27">
            <v>56</v>
          </cell>
        </row>
        <row r="28">
          <cell r="H28">
            <v>3690.313834311864</v>
          </cell>
          <cell r="I28">
            <v>57</v>
          </cell>
        </row>
        <row r="29">
          <cell r="H29">
            <v>3746.807072544239</v>
          </cell>
          <cell r="I29">
            <v>58</v>
          </cell>
        </row>
        <row r="30">
          <cell r="H30">
            <v>3803.2893412157928</v>
          </cell>
          <cell r="I30">
            <v>59</v>
          </cell>
        </row>
        <row r="31">
          <cell r="H31">
            <v>3859.7716098873452</v>
          </cell>
          <cell r="I31">
            <v>60</v>
          </cell>
        </row>
        <row r="32">
          <cell r="H32">
            <v>3916.2538785588981</v>
          </cell>
          <cell r="I32">
            <v>61</v>
          </cell>
        </row>
        <row r="33">
          <cell r="H33">
            <v>3972.7361472304501</v>
          </cell>
          <cell r="I33">
            <v>62</v>
          </cell>
        </row>
        <row r="34">
          <cell r="H34">
            <v>4029.2293854628251</v>
          </cell>
          <cell r="I34">
            <v>63</v>
          </cell>
        </row>
        <row r="35">
          <cell r="H35">
            <v>4085.7116541343789</v>
          </cell>
          <cell r="I35">
            <v>64</v>
          </cell>
        </row>
        <row r="36">
          <cell r="H36">
            <v>4142.1939228059318</v>
          </cell>
          <cell r="I36">
            <v>65</v>
          </cell>
        </row>
        <row r="37">
          <cell r="H37">
            <v>4198.6761914774843</v>
          </cell>
          <cell r="I37">
            <v>66</v>
          </cell>
        </row>
        <row r="38">
          <cell r="H38">
            <v>4255.1584601490367</v>
          </cell>
          <cell r="I38">
            <v>67</v>
          </cell>
        </row>
        <row r="39">
          <cell r="H39">
            <v>4311.6516983814108</v>
          </cell>
          <cell r="I39">
            <v>68</v>
          </cell>
        </row>
        <row r="40">
          <cell r="H40">
            <v>4368.1339670529651</v>
          </cell>
          <cell r="I40">
            <v>69</v>
          </cell>
        </row>
        <row r="41">
          <cell r="H41">
            <v>4424.6162357245166</v>
          </cell>
          <cell r="I41">
            <v>70</v>
          </cell>
        </row>
        <row r="42">
          <cell r="H42">
            <v>4481.0985043960709</v>
          </cell>
          <cell r="I42">
            <v>71</v>
          </cell>
        </row>
        <row r="43">
          <cell r="H43">
            <v>4537.5807730676233</v>
          </cell>
          <cell r="I43">
            <v>72</v>
          </cell>
        </row>
        <row r="44">
          <cell r="H44">
            <v>4594.0740112999974</v>
          </cell>
          <cell r="I44">
            <v>73</v>
          </cell>
        </row>
        <row r="45">
          <cell r="H45">
            <v>4650.5562799715508</v>
          </cell>
          <cell r="I45">
            <v>74</v>
          </cell>
        </row>
        <row r="46">
          <cell r="H46">
            <v>4707.0385486431032</v>
          </cell>
          <cell r="I46">
            <v>75</v>
          </cell>
        </row>
        <row r="47">
          <cell r="H47">
            <v>4763.5208173146566</v>
          </cell>
          <cell r="I47">
            <v>76</v>
          </cell>
        </row>
        <row r="48">
          <cell r="H48">
            <v>4820.00308598621</v>
          </cell>
          <cell r="I48">
            <v>77</v>
          </cell>
        </row>
        <row r="49">
          <cell r="H49">
            <v>4876.496324218584</v>
          </cell>
          <cell r="I49">
            <v>78</v>
          </cell>
        </row>
        <row r="50">
          <cell r="H50">
            <v>4932.9785928901374</v>
          </cell>
          <cell r="I50">
            <v>79</v>
          </cell>
        </row>
        <row r="51">
          <cell r="H51">
            <v>4989.4608615616899</v>
          </cell>
          <cell r="I51">
            <v>80</v>
          </cell>
        </row>
        <row r="52">
          <cell r="H52">
            <v>5045.9431302332423</v>
          </cell>
          <cell r="I52">
            <v>81</v>
          </cell>
        </row>
        <row r="53">
          <cell r="H53">
            <v>5102.4253989047938</v>
          </cell>
          <cell r="I53">
            <v>82</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E50"/>
  <sheetViews>
    <sheetView showGridLines="0" workbookViewId="0">
      <selection activeCell="B5" sqref="B5"/>
    </sheetView>
  </sheetViews>
  <sheetFormatPr defaultColWidth="9.109375" defaultRowHeight="14.4" x14ac:dyDescent="0.3"/>
  <cols>
    <col min="1" max="1" width="9.109375" style="19"/>
    <col min="2" max="2" width="33.6640625" style="19" customWidth="1"/>
    <col min="3" max="3" width="15.6640625" style="19" customWidth="1"/>
    <col min="4" max="4" width="17.6640625" style="19" customWidth="1"/>
    <col min="5" max="5" width="10.6640625" style="19" customWidth="1"/>
    <col min="6" max="6" width="26.109375" style="19" customWidth="1"/>
    <col min="7" max="7" width="22.6640625" style="19" customWidth="1"/>
    <col min="8" max="8" width="29.5546875" style="19" customWidth="1"/>
    <col min="9" max="9" width="46" customWidth="1"/>
    <col min="10" max="10" width="8.6640625"/>
    <col min="11" max="11" width="11.5546875" customWidth="1"/>
    <col min="12" max="12" width="11.109375" customWidth="1"/>
    <col min="13" max="13" width="14" customWidth="1"/>
    <col min="14" max="14" width="11.88671875" customWidth="1"/>
    <col min="15" max="31" width="8.6640625" customWidth="1"/>
    <col min="32" max="16384" width="9.109375" style="19"/>
  </cols>
  <sheetData>
    <row r="2" spans="1:31" x14ac:dyDescent="0.3">
      <c r="B2" s="198" t="s">
        <v>119</v>
      </c>
      <c r="C2" s="198"/>
      <c r="D2" s="198"/>
      <c r="E2" s="198"/>
      <c r="F2" s="198"/>
      <c r="G2" s="198"/>
      <c r="H2" s="199"/>
    </row>
    <row r="3" spans="1:31" s="23" customFormat="1" x14ac:dyDescent="0.3">
      <c r="B3" s="84"/>
      <c r="C3" s="84"/>
      <c r="E3" s="84"/>
      <c r="F3" s="84"/>
      <c r="G3" s="84"/>
      <c r="I3"/>
      <c r="J3"/>
      <c r="K3"/>
      <c r="L3"/>
      <c r="M3"/>
      <c r="N3"/>
      <c r="O3"/>
      <c r="P3"/>
      <c r="Q3"/>
      <c r="R3"/>
      <c r="S3"/>
      <c r="T3"/>
      <c r="U3"/>
      <c r="V3"/>
      <c r="W3"/>
      <c r="X3"/>
      <c r="Y3"/>
      <c r="Z3"/>
      <c r="AA3"/>
      <c r="AB3"/>
      <c r="AC3"/>
      <c r="AD3"/>
      <c r="AE3"/>
    </row>
    <row r="4" spans="1:31" s="23" customFormat="1" x14ac:dyDescent="0.3">
      <c r="B4" s="84"/>
      <c r="C4" s="204" t="s">
        <v>105</v>
      </c>
      <c r="D4" s="204"/>
      <c r="E4" s="135"/>
      <c r="F4" s="84"/>
      <c r="G4" s="84"/>
      <c r="I4"/>
      <c r="J4"/>
      <c r="K4"/>
      <c r="L4"/>
      <c r="M4"/>
      <c r="N4"/>
      <c r="O4"/>
      <c r="P4"/>
      <c r="Q4"/>
      <c r="R4"/>
      <c r="S4"/>
      <c r="T4"/>
      <c r="U4"/>
      <c r="V4"/>
      <c r="W4"/>
      <c r="X4"/>
      <c r="Y4"/>
      <c r="Z4"/>
      <c r="AA4"/>
      <c r="AB4"/>
      <c r="AC4"/>
      <c r="AD4"/>
      <c r="AE4"/>
    </row>
    <row r="5" spans="1:31" s="23" customFormat="1" x14ac:dyDescent="0.3">
      <c r="A5" s="193" t="s">
        <v>226</v>
      </c>
      <c r="B5" s="84"/>
      <c r="C5" s="130"/>
      <c r="D5" s="84"/>
      <c r="E5" s="84"/>
      <c r="F5" s="84"/>
      <c r="G5" s="84"/>
      <c r="I5"/>
      <c r="J5"/>
      <c r="K5"/>
      <c r="L5"/>
      <c r="M5"/>
      <c r="N5"/>
      <c r="O5"/>
      <c r="P5"/>
      <c r="Q5"/>
      <c r="R5"/>
      <c r="S5"/>
      <c r="T5"/>
      <c r="U5"/>
      <c r="V5"/>
      <c r="W5"/>
      <c r="X5"/>
      <c r="Y5"/>
      <c r="Z5"/>
      <c r="AA5"/>
      <c r="AB5"/>
      <c r="AC5"/>
      <c r="AD5"/>
      <c r="AE5"/>
    </row>
    <row r="7" spans="1:31" s="23" customFormat="1" ht="28.8" customHeight="1" x14ac:dyDescent="0.3">
      <c r="B7" s="126" t="s">
        <v>99</v>
      </c>
      <c r="C7" s="205" t="s">
        <v>202</v>
      </c>
      <c r="D7" s="206"/>
      <c r="E7" s="206"/>
      <c r="F7" s="206"/>
      <c r="G7" s="206"/>
      <c r="H7" s="207"/>
      <c r="I7"/>
      <c r="J7"/>
      <c r="K7"/>
      <c r="L7"/>
      <c r="M7"/>
      <c r="N7"/>
      <c r="O7"/>
      <c r="P7"/>
      <c r="Q7"/>
      <c r="R7"/>
      <c r="S7"/>
      <c r="T7"/>
      <c r="U7"/>
      <c r="V7"/>
      <c r="W7"/>
      <c r="X7"/>
      <c r="Y7"/>
      <c r="Z7"/>
      <c r="AA7"/>
      <c r="AB7"/>
      <c r="AC7"/>
      <c r="AD7"/>
      <c r="AE7"/>
    </row>
    <row r="8" spans="1:31" s="23" customFormat="1" ht="3" customHeight="1" x14ac:dyDescent="0.3">
      <c r="B8" s="22"/>
      <c r="C8" s="95"/>
      <c r="D8" s="98"/>
      <c r="E8" s="98"/>
      <c r="F8" s="98"/>
      <c r="G8" s="98"/>
      <c r="H8" s="97"/>
      <c r="I8"/>
      <c r="J8"/>
      <c r="K8"/>
      <c r="L8"/>
      <c r="M8"/>
      <c r="N8"/>
      <c r="O8"/>
      <c r="P8"/>
      <c r="Q8"/>
      <c r="R8"/>
      <c r="S8"/>
      <c r="T8"/>
      <c r="U8"/>
      <c r="V8"/>
      <c r="W8"/>
      <c r="X8"/>
      <c r="Y8"/>
      <c r="Z8"/>
      <c r="AA8"/>
      <c r="AB8"/>
      <c r="AC8"/>
      <c r="AD8"/>
      <c r="AE8"/>
    </row>
    <row r="9" spans="1:31" s="23" customFormat="1" ht="15" customHeight="1" x14ac:dyDescent="0.3">
      <c r="B9" s="126" t="s">
        <v>100</v>
      </c>
      <c r="C9" s="194" t="s">
        <v>203</v>
      </c>
      <c r="D9" s="195"/>
      <c r="E9" s="195"/>
      <c r="F9" s="195"/>
      <c r="G9" s="195"/>
      <c r="H9" s="196"/>
      <c r="I9"/>
      <c r="J9"/>
      <c r="K9"/>
      <c r="L9"/>
      <c r="M9"/>
      <c r="N9"/>
      <c r="O9"/>
      <c r="P9"/>
      <c r="Q9"/>
      <c r="R9"/>
      <c r="S9"/>
      <c r="T9"/>
      <c r="U9"/>
      <c r="V9"/>
      <c r="W9"/>
      <c r="X9"/>
      <c r="Y9"/>
      <c r="Z9"/>
      <c r="AA9"/>
      <c r="AB9"/>
      <c r="AC9"/>
      <c r="AD9"/>
      <c r="AE9"/>
    </row>
    <row r="10" spans="1:31" ht="3" customHeight="1" x14ac:dyDescent="0.3">
      <c r="B10" s="21"/>
      <c r="C10" s="94"/>
      <c r="D10" s="96"/>
      <c r="E10" s="96"/>
      <c r="F10" s="96"/>
      <c r="G10" s="96"/>
      <c r="H10" s="97"/>
    </row>
    <row r="11" spans="1:31" x14ac:dyDescent="0.3">
      <c r="B11" s="136" t="s">
        <v>101</v>
      </c>
      <c r="C11" s="194"/>
      <c r="D11" s="195"/>
      <c r="E11" s="195"/>
      <c r="F11" s="195"/>
      <c r="G11" s="195"/>
      <c r="H11" s="196"/>
    </row>
    <row r="12" spans="1:31" ht="3" customHeight="1" x14ac:dyDescent="0.3">
      <c r="B12" s="22"/>
      <c r="C12" s="95"/>
      <c r="D12" s="98"/>
      <c r="E12" s="98"/>
      <c r="F12" s="98"/>
      <c r="G12" s="98"/>
      <c r="H12" s="97"/>
    </row>
    <row r="13" spans="1:31" x14ac:dyDescent="0.3">
      <c r="B13" s="91" t="s">
        <v>102</v>
      </c>
      <c r="C13" s="194"/>
      <c r="D13" s="195"/>
      <c r="E13" s="195"/>
      <c r="F13" s="195"/>
      <c r="G13" s="195"/>
      <c r="H13" s="196"/>
    </row>
    <row r="14" spans="1:31" ht="3" customHeight="1" x14ac:dyDescent="0.3">
      <c r="B14" s="22"/>
      <c r="C14" s="95"/>
      <c r="D14" s="98"/>
      <c r="E14" s="98"/>
      <c r="F14" s="98"/>
      <c r="G14" s="98"/>
      <c r="H14" s="97"/>
    </row>
    <row r="15" spans="1:31" ht="15" customHeight="1" x14ac:dyDescent="0.3">
      <c r="B15" s="91" t="s">
        <v>103</v>
      </c>
      <c r="C15" s="194"/>
      <c r="D15" s="195"/>
      <c r="E15" s="195"/>
      <c r="F15" s="195"/>
      <c r="G15" s="195"/>
      <c r="H15" s="196"/>
    </row>
    <row r="16" spans="1:31" ht="3" customHeight="1" x14ac:dyDescent="0.3">
      <c r="B16" s="22"/>
      <c r="C16" s="95"/>
      <c r="D16" s="98"/>
      <c r="E16" s="98"/>
      <c r="F16" s="98"/>
      <c r="G16" s="98"/>
      <c r="H16" s="97"/>
    </row>
    <row r="17" spans="1:31" x14ac:dyDescent="0.3">
      <c r="B17" s="91" t="s">
        <v>104</v>
      </c>
      <c r="C17" s="194"/>
      <c r="D17" s="195"/>
      <c r="E17" s="195"/>
      <c r="F17" s="195"/>
      <c r="G17" s="195"/>
      <c r="H17" s="196"/>
    </row>
    <row r="18" spans="1:31" ht="3" customHeight="1" x14ac:dyDescent="0.3">
      <c r="B18" s="21"/>
      <c r="C18" s="21"/>
      <c r="D18" s="20"/>
      <c r="E18" s="20"/>
      <c r="F18" s="20"/>
      <c r="G18" s="20"/>
    </row>
    <row r="19" spans="1:31" s="23" customFormat="1" x14ac:dyDescent="0.3">
      <c r="B19" s="127" t="s">
        <v>185</v>
      </c>
      <c r="C19" s="194"/>
      <c r="D19" s="195"/>
      <c r="E19" s="195"/>
      <c r="F19" s="195"/>
      <c r="G19" s="195"/>
      <c r="H19" s="196"/>
      <c r="I19"/>
      <c r="J19"/>
      <c r="K19"/>
      <c r="L19"/>
      <c r="M19"/>
      <c r="N19"/>
      <c r="O19"/>
      <c r="P19"/>
      <c r="Q19"/>
      <c r="R19"/>
      <c r="S19"/>
      <c r="T19"/>
      <c r="U19"/>
      <c r="V19"/>
      <c r="W19"/>
      <c r="X19"/>
      <c r="Y19"/>
      <c r="Z19"/>
      <c r="AA19"/>
      <c r="AB19"/>
      <c r="AC19"/>
      <c r="AD19"/>
      <c r="AE19"/>
    </row>
    <row r="20" spans="1:31" s="131" customFormat="1" ht="3" customHeight="1" x14ac:dyDescent="0.3">
      <c r="B20" s="128"/>
      <c r="C20" s="132"/>
      <c r="D20" s="132"/>
      <c r="E20" s="132"/>
      <c r="F20" s="132"/>
      <c r="G20" s="132"/>
      <c r="H20" s="132"/>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row>
    <row r="21" spans="1:31" s="23" customFormat="1" x14ac:dyDescent="0.3">
      <c r="B21" s="127" t="s">
        <v>186</v>
      </c>
      <c r="C21" s="194"/>
      <c r="D21" s="195"/>
      <c r="E21" s="195"/>
      <c r="F21" s="195"/>
      <c r="G21" s="195"/>
      <c r="H21" s="196"/>
      <c r="I21"/>
      <c r="J21"/>
      <c r="K21"/>
      <c r="L21"/>
      <c r="M21"/>
      <c r="N21"/>
      <c r="O21"/>
      <c r="P21"/>
      <c r="Q21"/>
      <c r="R21"/>
      <c r="S21"/>
      <c r="T21"/>
      <c r="U21"/>
      <c r="V21"/>
      <c r="W21"/>
      <c r="X21"/>
      <c r="Y21"/>
      <c r="Z21"/>
      <c r="AA21"/>
      <c r="AB21"/>
      <c r="AC21"/>
      <c r="AD21"/>
      <c r="AE21"/>
    </row>
    <row r="23" spans="1:31" s="120" customFormat="1" ht="26.25" customHeight="1" x14ac:dyDescent="0.25">
      <c r="A23" s="128"/>
      <c r="B23" s="197" t="s">
        <v>204</v>
      </c>
      <c r="C23" s="197"/>
      <c r="D23" s="197"/>
      <c r="E23" s="197"/>
      <c r="F23" s="197"/>
      <c r="G23" s="197"/>
      <c r="H23" s="197"/>
    </row>
    <row r="24" spans="1:31" s="23" customFormat="1" x14ac:dyDescent="0.3">
      <c r="I24"/>
      <c r="J24"/>
      <c r="K24"/>
      <c r="L24"/>
      <c r="M24"/>
      <c r="N24"/>
      <c r="O24"/>
      <c r="P24"/>
      <c r="Q24"/>
      <c r="R24"/>
      <c r="S24"/>
      <c r="T24"/>
      <c r="U24"/>
      <c r="V24"/>
      <c r="W24"/>
      <c r="X24"/>
      <c r="Y24"/>
      <c r="Z24"/>
      <c r="AA24"/>
      <c r="AB24"/>
      <c r="AC24"/>
      <c r="AD24"/>
      <c r="AE24"/>
    </row>
    <row r="25" spans="1:31" ht="24" customHeight="1" x14ac:dyDescent="0.3">
      <c r="B25" s="62" t="s">
        <v>107</v>
      </c>
      <c r="C25" s="112"/>
      <c r="D25" s="62" t="s">
        <v>108</v>
      </c>
      <c r="E25" s="113"/>
      <c r="F25" s="62" t="s">
        <v>109</v>
      </c>
      <c r="G25" s="109" t="str">
        <f>IF(E25=0,"",EDATE(C25,E25)-1)</f>
        <v/>
      </c>
      <c r="H25" s="202"/>
      <c r="I25" s="203"/>
      <c r="J25" s="203"/>
      <c r="K25" s="203"/>
      <c r="L25" s="203"/>
      <c r="M25" s="203"/>
      <c r="N25" s="203"/>
      <c r="O25" s="203"/>
      <c r="P25" s="203"/>
    </row>
    <row r="26" spans="1:31" ht="14.4" customHeight="1" x14ac:dyDescent="0.3">
      <c r="B26" s="208" t="s">
        <v>110</v>
      </c>
      <c r="C26" s="209"/>
      <c r="D26" s="209"/>
      <c r="E26" s="209"/>
      <c r="F26" s="209"/>
      <c r="G26" s="209"/>
      <c r="H26" s="209"/>
      <c r="I26" s="209"/>
      <c r="J26" s="209"/>
    </row>
    <row r="27" spans="1:31" s="23" customFormat="1" x14ac:dyDescent="0.3">
      <c r="B27" s="202"/>
      <c r="C27" s="203"/>
      <c r="D27" s="203"/>
      <c r="E27" s="203"/>
      <c r="F27" s="203"/>
      <c r="G27" s="203"/>
      <c r="H27" s="203"/>
      <c r="I27" s="203"/>
      <c r="J27" s="203"/>
      <c r="K27"/>
      <c r="L27"/>
      <c r="M27"/>
      <c r="N27"/>
      <c r="O27"/>
      <c r="P27"/>
      <c r="Q27"/>
      <c r="R27"/>
      <c r="S27"/>
      <c r="T27"/>
      <c r="U27"/>
      <c r="V27"/>
      <c r="W27"/>
      <c r="X27"/>
      <c r="Y27"/>
      <c r="Z27"/>
      <c r="AA27"/>
      <c r="AB27"/>
      <c r="AC27"/>
      <c r="AD27"/>
      <c r="AE27"/>
    </row>
    <row r="28" spans="1:31" s="23" customFormat="1" x14ac:dyDescent="0.3">
      <c r="B28" s="124"/>
      <c r="C28" s="125"/>
      <c r="D28" s="125"/>
      <c r="E28" s="125"/>
      <c r="F28" s="125"/>
      <c r="G28" s="125"/>
      <c r="H28" s="125"/>
      <c r="I28" s="125"/>
      <c r="J28" s="125"/>
      <c r="K28"/>
      <c r="L28"/>
      <c r="M28"/>
      <c r="N28"/>
      <c r="O28"/>
      <c r="P28"/>
      <c r="Q28"/>
      <c r="R28"/>
      <c r="S28"/>
      <c r="T28"/>
      <c r="U28"/>
      <c r="V28"/>
      <c r="W28"/>
      <c r="X28"/>
      <c r="Y28"/>
      <c r="Z28"/>
      <c r="AA28"/>
      <c r="AB28"/>
      <c r="AC28"/>
      <c r="AD28"/>
      <c r="AE28"/>
    </row>
    <row r="29" spans="1:31" x14ac:dyDescent="0.3">
      <c r="B29" s="210" t="s">
        <v>111</v>
      </c>
      <c r="C29" s="211"/>
      <c r="D29" s="211"/>
      <c r="E29" s="211"/>
      <c r="F29" s="211"/>
      <c r="G29" s="211"/>
      <c r="H29" s="211"/>
    </row>
    <row r="30" spans="1:31" ht="32.25" customHeight="1" x14ac:dyDescent="0.3">
      <c r="B30" s="63" t="s">
        <v>120</v>
      </c>
      <c r="C30" s="212" t="s">
        <v>116</v>
      </c>
      <c r="D30" s="212"/>
      <c r="E30" s="212"/>
      <c r="F30" s="212"/>
      <c r="G30" s="64" t="s">
        <v>118</v>
      </c>
      <c r="H30" s="64" t="s">
        <v>117</v>
      </c>
      <c r="AE30" s="19"/>
    </row>
    <row r="31" spans="1:31" x14ac:dyDescent="0.3">
      <c r="B31" s="144" t="s">
        <v>199</v>
      </c>
      <c r="C31" s="194"/>
      <c r="D31" s="195"/>
      <c r="E31" s="195"/>
      <c r="F31" s="196"/>
      <c r="G31" s="112"/>
      <c r="H31" s="112"/>
      <c r="AE31" s="19"/>
    </row>
    <row r="32" spans="1:31" s="23" customFormat="1" x14ac:dyDescent="0.3">
      <c r="B32" s="144" t="s">
        <v>200</v>
      </c>
      <c r="C32" s="121"/>
      <c r="D32" s="122"/>
      <c r="E32" s="122"/>
      <c r="F32" s="123"/>
      <c r="G32" s="112"/>
      <c r="H32" s="112"/>
      <c r="I32"/>
      <c r="J32"/>
      <c r="K32"/>
      <c r="L32"/>
      <c r="M32"/>
      <c r="N32"/>
      <c r="O32"/>
      <c r="P32"/>
      <c r="Q32"/>
      <c r="R32"/>
      <c r="S32"/>
      <c r="T32"/>
      <c r="U32"/>
      <c r="V32"/>
      <c r="W32"/>
      <c r="X32"/>
      <c r="Y32"/>
      <c r="Z32"/>
      <c r="AA32"/>
      <c r="AB32"/>
      <c r="AC32"/>
      <c r="AD32"/>
    </row>
    <row r="33" spans="1:31" x14ac:dyDescent="0.3">
      <c r="B33" s="138" t="s">
        <v>112</v>
      </c>
      <c r="C33" s="194"/>
      <c r="D33" s="195"/>
      <c r="E33" s="195"/>
      <c r="F33" s="196"/>
      <c r="G33" s="112"/>
      <c r="H33" s="112"/>
      <c r="AE33" s="19"/>
    </row>
    <row r="34" spans="1:31" x14ac:dyDescent="0.3">
      <c r="B34" s="138" t="s">
        <v>113</v>
      </c>
      <c r="C34" s="194"/>
      <c r="D34" s="195"/>
      <c r="E34" s="195"/>
      <c r="F34" s="196"/>
      <c r="G34" s="112"/>
      <c r="H34" s="112"/>
      <c r="AE34" s="19"/>
    </row>
    <row r="35" spans="1:31" x14ac:dyDescent="0.3">
      <c r="B35" s="138" t="s">
        <v>114</v>
      </c>
      <c r="C35" s="194"/>
      <c r="D35" s="195"/>
      <c r="E35" s="195"/>
      <c r="F35" s="196"/>
      <c r="G35" s="112"/>
      <c r="H35" s="112"/>
      <c r="AE35" s="19"/>
    </row>
    <row r="36" spans="1:31" x14ac:dyDescent="0.3">
      <c r="B36" s="138" t="s">
        <v>115</v>
      </c>
      <c r="C36" s="194"/>
      <c r="D36" s="195"/>
      <c r="E36" s="195"/>
      <c r="F36" s="196"/>
      <c r="G36" s="112"/>
      <c r="H36" s="112"/>
      <c r="AE36" s="19"/>
    </row>
    <row r="37" spans="1:31" x14ac:dyDescent="0.3">
      <c r="B37" s="143" t="s">
        <v>187</v>
      </c>
    </row>
    <row r="38" spans="1:31" s="23" customFormat="1" x14ac:dyDescent="0.3">
      <c r="I38"/>
      <c r="J38"/>
      <c r="K38"/>
      <c r="L38"/>
      <c r="M38"/>
      <c r="N38"/>
      <c r="O38"/>
      <c r="P38"/>
      <c r="Q38"/>
      <c r="R38"/>
      <c r="S38"/>
      <c r="T38"/>
      <c r="U38"/>
      <c r="V38"/>
      <c r="W38"/>
      <c r="X38"/>
      <c r="Y38"/>
      <c r="Z38"/>
      <c r="AA38"/>
      <c r="AB38"/>
      <c r="AC38"/>
      <c r="AD38"/>
      <c r="AE38"/>
    </row>
    <row r="39" spans="1:31" ht="15" customHeight="1" x14ac:dyDescent="0.3">
      <c r="A39" s="200"/>
      <c r="B39" s="201"/>
      <c r="C39" s="201"/>
      <c r="D39" s="201"/>
      <c r="E39" s="201"/>
      <c r="F39" s="201"/>
      <c r="G39" s="201"/>
      <c r="H39" s="201"/>
      <c r="I39" s="86"/>
    </row>
    <row r="40" spans="1:31" ht="15" customHeight="1" x14ac:dyDescent="0.3">
      <c r="A40" s="200"/>
      <c r="B40" s="201"/>
      <c r="C40" s="201"/>
      <c r="D40" s="201"/>
      <c r="E40" s="201"/>
      <c r="F40" s="201"/>
      <c r="G40" s="201"/>
      <c r="H40" s="201"/>
      <c r="I40" s="86"/>
    </row>
    <row r="41" spans="1:31" ht="31.5" customHeight="1" x14ac:dyDescent="0.3">
      <c r="A41" s="200"/>
      <c r="B41" s="201"/>
      <c r="C41" s="201"/>
      <c r="D41" s="201"/>
      <c r="E41" s="201"/>
      <c r="F41" s="201"/>
      <c r="G41" s="201"/>
      <c r="H41" s="201"/>
      <c r="I41" s="86"/>
    </row>
    <row r="42" spans="1:31" ht="15" customHeight="1" x14ac:dyDescent="0.3">
      <c r="A42"/>
      <c r="I42" s="86"/>
    </row>
    <row r="43" spans="1:31" ht="15" customHeight="1" x14ac:dyDescent="0.3">
      <c r="A43"/>
      <c r="I43" s="86"/>
    </row>
    <row r="44" spans="1:31" s="23" customFormat="1" ht="15" customHeight="1" x14ac:dyDescent="0.3">
      <c r="A44"/>
      <c r="I44" s="86"/>
      <c r="J44"/>
      <c r="K44"/>
      <c r="L44"/>
      <c r="M44"/>
      <c r="N44"/>
      <c r="O44"/>
      <c r="P44"/>
      <c r="Q44"/>
      <c r="R44"/>
      <c r="S44"/>
      <c r="T44"/>
      <c r="U44"/>
      <c r="V44"/>
      <c r="W44"/>
      <c r="X44"/>
      <c r="Y44"/>
      <c r="Z44"/>
      <c r="AA44"/>
      <c r="AB44"/>
      <c r="AC44"/>
      <c r="AD44"/>
      <c r="AE44"/>
    </row>
    <row r="45" spans="1:31" ht="15" customHeight="1" x14ac:dyDescent="0.3">
      <c r="A45"/>
    </row>
    <row r="46" spans="1:31" ht="15" customHeight="1" x14ac:dyDescent="0.3">
      <c r="A46" s="23"/>
    </row>
    <row r="47" spans="1:31" ht="15" customHeight="1" x14ac:dyDescent="0.3">
      <c r="A47"/>
    </row>
    <row r="48" spans="1:31" ht="15" customHeight="1" x14ac:dyDescent="0.3">
      <c r="A48"/>
    </row>
    <row r="49" spans="1:31" ht="15" customHeight="1" x14ac:dyDescent="0.3">
      <c r="A49"/>
    </row>
    <row r="50" spans="1:31" s="23" customFormat="1" ht="15" customHeight="1" x14ac:dyDescent="0.3">
      <c r="A50"/>
      <c r="I50"/>
      <c r="J50"/>
      <c r="K50"/>
      <c r="L50"/>
      <c r="M50"/>
      <c r="N50"/>
      <c r="O50"/>
      <c r="P50"/>
      <c r="Q50"/>
      <c r="R50"/>
      <c r="S50"/>
      <c r="T50"/>
      <c r="U50"/>
      <c r="V50"/>
      <c r="W50"/>
      <c r="X50"/>
      <c r="Y50"/>
      <c r="Z50"/>
      <c r="AA50"/>
      <c r="AB50"/>
      <c r="AC50"/>
      <c r="AD50"/>
      <c r="AE50"/>
    </row>
  </sheetData>
  <mergeCells count="24">
    <mergeCell ref="C21:H21"/>
    <mergeCell ref="A41:H41"/>
    <mergeCell ref="C36:F36"/>
    <mergeCell ref="B29:H29"/>
    <mergeCell ref="C30:F30"/>
    <mergeCell ref="C31:F31"/>
    <mergeCell ref="C33:F33"/>
    <mergeCell ref="C34:F34"/>
    <mergeCell ref="C19:H19"/>
    <mergeCell ref="B23:H23"/>
    <mergeCell ref="B2:H2"/>
    <mergeCell ref="A39:H39"/>
    <mergeCell ref="A40:H40"/>
    <mergeCell ref="C15:H15"/>
    <mergeCell ref="C17:H17"/>
    <mergeCell ref="C11:H11"/>
    <mergeCell ref="C9:H9"/>
    <mergeCell ref="C13:H13"/>
    <mergeCell ref="C35:F35"/>
    <mergeCell ref="H25:P25"/>
    <mergeCell ref="C4:D4"/>
    <mergeCell ref="C7:H7"/>
    <mergeCell ref="B26:J26"/>
    <mergeCell ref="B27:J27"/>
  </mergeCells>
  <conditionalFormatting sqref="B10:G10">
    <cfRule type="colorScale" priority="44">
      <colorScale>
        <cfvo type="min"/>
        <cfvo type="percentile" val="50"/>
        <cfvo type="max"/>
        <color rgb="FFF8696B"/>
        <color rgb="FFFFEB84"/>
        <color rgb="FF63BE7B"/>
      </colorScale>
    </cfRule>
  </conditionalFormatting>
  <conditionalFormatting sqref="B11">
    <cfRule type="colorScale" priority="43">
      <colorScale>
        <cfvo type="min"/>
        <cfvo type="percentile" val="50"/>
        <cfvo type="max"/>
        <color rgb="FFF8696B"/>
        <color rgb="FFFFEB84"/>
        <color rgb="FF63BE7B"/>
      </colorScale>
    </cfRule>
  </conditionalFormatting>
  <conditionalFormatting sqref="B13">
    <cfRule type="colorScale" priority="42">
      <colorScale>
        <cfvo type="min"/>
        <cfvo type="percentile" val="50"/>
        <cfvo type="max"/>
        <color rgb="FFF8696B"/>
        <color rgb="FFFFEB84"/>
        <color rgb="FF63BE7B"/>
      </colorScale>
    </cfRule>
  </conditionalFormatting>
  <conditionalFormatting sqref="B15">
    <cfRule type="colorScale" priority="41">
      <colorScale>
        <cfvo type="min"/>
        <cfvo type="percentile" val="50"/>
        <cfvo type="max"/>
        <color rgb="FFF8696B"/>
        <color rgb="FFFFEB84"/>
        <color rgb="FF63BE7B"/>
      </colorScale>
    </cfRule>
  </conditionalFormatting>
  <conditionalFormatting sqref="B25">
    <cfRule type="colorScale" priority="40">
      <colorScale>
        <cfvo type="min"/>
        <cfvo type="percentile" val="50"/>
        <cfvo type="max"/>
        <color rgb="FFF8696B"/>
        <color rgb="FFFFEB84"/>
        <color rgb="FF63BE7B"/>
      </colorScale>
    </cfRule>
  </conditionalFormatting>
  <conditionalFormatting sqref="D25">
    <cfRule type="colorScale" priority="39">
      <colorScale>
        <cfvo type="min"/>
        <cfvo type="percentile" val="50"/>
        <cfvo type="max"/>
        <color rgb="FFF8696B"/>
        <color rgb="FFFFEB84"/>
        <color rgb="FF63BE7B"/>
      </colorScale>
    </cfRule>
  </conditionalFormatting>
  <conditionalFormatting sqref="F25">
    <cfRule type="colorScale" priority="38">
      <colorScale>
        <cfvo type="min"/>
        <cfvo type="percentile" val="50"/>
        <cfvo type="max"/>
        <color rgb="FFF8696B"/>
        <color rgb="FFFFEB84"/>
        <color rgb="FF63BE7B"/>
      </colorScale>
    </cfRule>
  </conditionalFormatting>
  <conditionalFormatting sqref="B29">
    <cfRule type="colorScale" priority="37">
      <colorScale>
        <cfvo type="min"/>
        <cfvo type="percentile" val="50"/>
        <cfvo type="max"/>
        <color rgb="FFF8696B"/>
        <color rgb="FFFFEB84"/>
        <color rgb="FF63BE7B"/>
      </colorScale>
    </cfRule>
  </conditionalFormatting>
  <conditionalFormatting sqref="C30">
    <cfRule type="colorScale" priority="47">
      <colorScale>
        <cfvo type="min"/>
        <cfvo type="percentile" val="50"/>
        <cfvo type="max"/>
        <color rgb="FFF8696B"/>
        <color rgb="FFFFEB84"/>
        <color rgb="FF63BE7B"/>
      </colorScale>
    </cfRule>
  </conditionalFormatting>
  <conditionalFormatting sqref="G30">
    <cfRule type="colorScale" priority="30">
      <colorScale>
        <cfvo type="min"/>
        <cfvo type="percentile" val="50"/>
        <cfvo type="max"/>
        <color rgb="FFF8696B"/>
        <color rgb="FFFFEB84"/>
        <color rgb="FF63BE7B"/>
      </colorScale>
    </cfRule>
  </conditionalFormatting>
  <conditionalFormatting sqref="B30">
    <cfRule type="colorScale" priority="54">
      <colorScale>
        <cfvo type="min"/>
        <cfvo type="percentile" val="50"/>
        <cfvo type="max"/>
        <color rgb="FFF8696B"/>
        <color rgb="FFFFEB84"/>
        <color rgb="FF63BE7B"/>
      </colorScale>
    </cfRule>
  </conditionalFormatting>
  <conditionalFormatting sqref="B31:B36">
    <cfRule type="colorScale" priority="22">
      <colorScale>
        <cfvo type="min"/>
        <cfvo type="percentile" val="50"/>
        <cfvo type="max"/>
        <color rgb="FFF8696B"/>
        <color rgb="FFFFEB84"/>
        <color rgb="FF63BE7B"/>
      </colorScale>
    </cfRule>
  </conditionalFormatting>
  <conditionalFormatting sqref="B9">
    <cfRule type="colorScale" priority="14">
      <colorScale>
        <cfvo type="min"/>
        <cfvo type="percentile" val="50"/>
        <cfvo type="max"/>
        <color rgb="FFF8696B"/>
        <color rgb="FFFFEB84"/>
        <color rgb="FF63BE7B"/>
      </colorScale>
    </cfRule>
  </conditionalFormatting>
  <conditionalFormatting sqref="B7">
    <cfRule type="colorScale" priority="56">
      <colorScale>
        <cfvo type="min"/>
        <cfvo type="percentile" val="50"/>
        <cfvo type="max"/>
        <color rgb="FFF8696B"/>
        <color rgb="FFFFEB84"/>
        <color rgb="FF63BE7B"/>
      </colorScale>
    </cfRule>
  </conditionalFormatting>
  <conditionalFormatting sqref="B19:B21">
    <cfRule type="colorScale" priority="10">
      <colorScale>
        <cfvo type="min"/>
        <cfvo type="percentile" val="50"/>
        <cfvo type="max"/>
        <color rgb="FFF8696B"/>
        <color rgb="FFFFEB84"/>
        <color rgb="FF63BE7B"/>
      </colorScale>
    </cfRule>
  </conditionalFormatting>
  <conditionalFormatting sqref="A23">
    <cfRule type="colorScale" priority="9">
      <colorScale>
        <cfvo type="min"/>
        <cfvo type="percentile" val="50"/>
        <cfvo type="max"/>
        <color rgb="FFF8696B"/>
        <color rgb="FFFFEB84"/>
        <color rgb="FF63BE7B"/>
      </colorScale>
    </cfRule>
  </conditionalFormatting>
  <conditionalFormatting sqref="B18:G18 B17">
    <cfRule type="colorScale" priority="57">
      <colorScale>
        <cfvo type="min"/>
        <cfvo type="percentile" val="50"/>
        <cfvo type="max"/>
        <color rgb="FFF8696B"/>
        <color rgb="FFFFEB84"/>
        <color rgb="FF63BE7B"/>
      </colorScale>
    </cfRule>
  </conditionalFormatting>
  <conditionalFormatting sqref="H30">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43"/>
  <sheetViews>
    <sheetView showGridLines="0" workbookViewId="0">
      <selection activeCell="C17" sqref="C17"/>
    </sheetView>
  </sheetViews>
  <sheetFormatPr defaultColWidth="8.6640625" defaultRowHeight="13.2" x14ac:dyDescent="0.25"/>
  <cols>
    <col min="1" max="1" width="8.109375" customWidth="1"/>
    <col min="2" max="2" width="44.109375" customWidth="1"/>
    <col min="3" max="3" width="25.6640625" customWidth="1"/>
    <col min="4" max="4" width="9.88671875" customWidth="1"/>
    <col min="5" max="5" width="33.44140625" customWidth="1"/>
    <col min="6" max="6" width="15.5546875" customWidth="1"/>
    <col min="7" max="7" width="12.88671875" customWidth="1"/>
    <col min="8" max="8" width="10.109375" bestFit="1" customWidth="1"/>
    <col min="9" max="9" width="9.88671875" customWidth="1"/>
    <col min="11" max="11" width="46" customWidth="1"/>
    <col min="12" max="12" width="35.5546875" customWidth="1"/>
    <col min="13" max="13" width="11.5546875" customWidth="1"/>
    <col min="14" max="14" width="72.6640625" customWidth="1"/>
    <col min="15" max="15" width="14" customWidth="1"/>
    <col min="16" max="16" width="11.88671875" customWidth="1"/>
  </cols>
  <sheetData>
    <row r="1" spans="2:16" ht="21" customHeight="1" x14ac:dyDescent="0.3">
      <c r="B1" s="16"/>
      <c r="C1" s="204" t="s">
        <v>105</v>
      </c>
      <c r="D1" s="204"/>
      <c r="E1" s="4"/>
      <c r="F1" s="230" t="s">
        <v>188</v>
      </c>
      <c r="G1" s="230"/>
      <c r="H1" s="230"/>
      <c r="I1" s="230"/>
      <c r="J1" s="230"/>
      <c r="K1" s="230"/>
      <c r="L1" s="4"/>
      <c r="M1" s="4"/>
      <c r="N1" s="4"/>
      <c r="O1" s="4"/>
      <c r="P1" s="4"/>
    </row>
    <row r="2" spans="2:16" ht="25.5" customHeight="1" thickBot="1" x14ac:dyDescent="0.3">
      <c r="B2" s="114" t="s">
        <v>106</v>
      </c>
      <c r="C2" s="4"/>
      <c r="D2" s="4"/>
      <c r="E2" s="4"/>
      <c r="F2" s="230"/>
      <c r="G2" s="230"/>
      <c r="H2" s="230"/>
      <c r="I2" s="230"/>
      <c r="J2" s="230"/>
      <c r="K2" s="230"/>
      <c r="L2" s="4"/>
      <c r="M2" s="4"/>
      <c r="N2" s="4"/>
      <c r="O2" s="4"/>
      <c r="P2" s="4"/>
    </row>
    <row r="3" spans="2:16" ht="14.4" thickTop="1" thickBot="1" x14ac:dyDescent="0.3">
      <c r="B3" s="213" t="s">
        <v>133</v>
      </c>
      <c r="C3" s="213" t="s">
        <v>162</v>
      </c>
      <c r="D3" s="213" t="s">
        <v>90</v>
      </c>
      <c r="E3" s="213" t="s">
        <v>134</v>
      </c>
    </row>
    <row r="4" spans="2:16" ht="14.4" thickTop="1" thickBot="1" x14ac:dyDescent="0.3">
      <c r="B4" s="213"/>
      <c r="C4" s="214"/>
      <c r="D4" s="214"/>
      <c r="E4" s="214"/>
    </row>
    <row r="5" spans="2:16" ht="30" customHeight="1" thickTop="1" thickBot="1" x14ac:dyDescent="0.35">
      <c r="B5" s="58" t="s">
        <v>184</v>
      </c>
      <c r="C5" s="111"/>
      <c r="D5" s="93" t="e">
        <f>C5/C16</f>
        <v>#DIV/0!</v>
      </c>
      <c r="E5" s="111"/>
      <c r="F5" s="225" t="s">
        <v>206</v>
      </c>
      <c r="G5" s="226"/>
      <c r="H5" s="226"/>
      <c r="I5" s="226"/>
      <c r="J5" s="226"/>
      <c r="K5" s="226"/>
      <c r="L5" s="226"/>
      <c r="M5" s="226"/>
      <c r="N5" s="226"/>
    </row>
    <row r="6" spans="2:16" ht="30" customHeight="1" thickTop="1" thickBot="1" x14ac:dyDescent="0.35">
      <c r="B6" s="58" t="s">
        <v>205</v>
      </c>
      <c r="C6" s="111"/>
      <c r="D6" s="93" t="e">
        <f>C6/C16</f>
        <v>#DIV/0!</v>
      </c>
      <c r="E6" s="111"/>
      <c r="F6" s="227"/>
      <c r="G6" s="228"/>
      <c r="H6" s="228"/>
      <c r="I6" s="228"/>
      <c r="J6" s="228"/>
      <c r="K6" s="228"/>
      <c r="L6" s="228"/>
      <c r="M6" s="228"/>
      <c r="N6" s="228"/>
    </row>
    <row r="7" spans="2:16" ht="30" customHeight="1" thickTop="1" thickBot="1" x14ac:dyDescent="0.35">
      <c r="B7" s="59" t="s">
        <v>121</v>
      </c>
      <c r="C7" s="111"/>
      <c r="D7" s="93" t="e">
        <f>C7/C16</f>
        <v>#DIV/0!</v>
      </c>
      <c r="E7" s="111"/>
      <c r="F7" s="219" t="s">
        <v>135</v>
      </c>
      <c r="G7" s="220"/>
      <c r="H7" s="220"/>
      <c r="I7" s="220"/>
      <c r="J7" s="220"/>
      <c r="K7" s="220"/>
      <c r="L7" s="220"/>
      <c r="M7" s="220"/>
      <c r="N7" s="220"/>
    </row>
    <row r="8" spans="2:16" ht="30" customHeight="1" thickTop="1" thickBot="1" x14ac:dyDescent="0.35">
      <c r="B8" s="59" t="s">
        <v>122</v>
      </c>
      <c r="C8" s="111"/>
      <c r="D8" s="93" t="e">
        <f>C8/C16</f>
        <v>#DIV/0!</v>
      </c>
      <c r="E8" s="111"/>
      <c r="F8" s="221" t="s">
        <v>136</v>
      </c>
      <c r="G8" s="222"/>
      <c r="H8" s="222"/>
      <c r="I8" s="222"/>
      <c r="J8" s="222"/>
      <c r="K8" s="222"/>
      <c r="L8" s="222"/>
      <c r="M8" s="222"/>
      <c r="N8" s="222"/>
    </row>
    <row r="9" spans="2:16" ht="30" customHeight="1" thickTop="1" thickBot="1" x14ac:dyDescent="0.35">
      <c r="B9" s="59" t="s">
        <v>130</v>
      </c>
      <c r="C9" s="111"/>
      <c r="D9" s="93" t="e">
        <f>C9/C16</f>
        <v>#DIV/0!</v>
      </c>
      <c r="E9" s="111"/>
      <c r="F9" s="221" t="s">
        <v>137</v>
      </c>
      <c r="G9" s="222"/>
      <c r="H9" s="222"/>
      <c r="I9" s="222"/>
      <c r="J9" s="222"/>
      <c r="K9" s="222"/>
      <c r="L9" s="222"/>
      <c r="M9" s="222"/>
      <c r="N9" s="222"/>
    </row>
    <row r="10" spans="2:16" ht="30" customHeight="1" thickTop="1" thickBot="1" x14ac:dyDescent="0.35">
      <c r="B10" s="59" t="s">
        <v>129</v>
      </c>
      <c r="C10" s="111"/>
      <c r="D10" s="93" t="e">
        <f>C10/C16</f>
        <v>#DIV/0!</v>
      </c>
      <c r="E10" s="111"/>
      <c r="F10" s="221" t="s">
        <v>138</v>
      </c>
      <c r="G10" s="222"/>
      <c r="H10" s="222"/>
      <c r="I10" s="222"/>
      <c r="J10" s="222"/>
      <c r="K10" s="222"/>
      <c r="L10" s="222"/>
      <c r="M10" s="222"/>
      <c r="N10" s="222"/>
    </row>
    <row r="11" spans="2:16" ht="30" customHeight="1" thickTop="1" thickBot="1" x14ac:dyDescent="0.35">
      <c r="B11" s="59" t="s">
        <v>128</v>
      </c>
      <c r="C11" s="111"/>
      <c r="D11" s="93" t="e">
        <f>C11/C16</f>
        <v>#DIV/0!</v>
      </c>
      <c r="E11" s="111"/>
      <c r="F11" s="221" t="s">
        <v>139</v>
      </c>
      <c r="G11" s="222"/>
      <c r="H11" s="222"/>
      <c r="I11" s="222"/>
      <c r="J11" s="222"/>
      <c r="K11" s="222"/>
      <c r="L11" s="222"/>
      <c r="M11" s="222"/>
      <c r="N11" s="222"/>
    </row>
    <row r="12" spans="2:16" ht="30" customHeight="1" thickTop="1" thickBot="1" x14ac:dyDescent="0.35">
      <c r="B12" s="59" t="s">
        <v>125</v>
      </c>
      <c r="C12" s="92">
        <f>IFERROR(#REF!,0)</f>
        <v>0</v>
      </c>
      <c r="D12" s="93" t="e">
        <f>C12/C16</f>
        <v>#DIV/0!</v>
      </c>
      <c r="E12" s="111"/>
      <c r="F12" s="221" t="s">
        <v>159</v>
      </c>
      <c r="G12" s="222"/>
      <c r="H12" s="222"/>
      <c r="I12" s="222"/>
      <c r="J12" s="222"/>
      <c r="K12" s="222"/>
      <c r="L12" s="222"/>
      <c r="M12" s="222"/>
      <c r="N12" s="222"/>
    </row>
    <row r="13" spans="2:16" ht="30" customHeight="1" thickTop="1" thickBot="1" x14ac:dyDescent="0.35">
      <c r="B13" s="59" t="s">
        <v>126</v>
      </c>
      <c r="C13" s="111"/>
      <c r="D13" s="93" t="e">
        <f>C13/C16</f>
        <v>#DIV/0!</v>
      </c>
      <c r="E13" s="111"/>
      <c r="F13" s="221" t="s">
        <v>189</v>
      </c>
      <c r="G13" s="222"/>
      <c r="H13" s="222"/>
      <c r="I13" s="222"/>
      <c r="J13" s="222"/>
      <c r="K13" s="222"/>
      <c r="L13" s="222"/>
      <c r="M13" s="222"/>
      <c r="N13" s="222"/>
    </row>
    <row r="14" spans="2:16" ht="30" customHeight="1" thickTop="1" thickBot="1" x14ac:dyDescent="0.3">
      <c r="B14" s="59" t="s">
        <v>124</v>
      </c>
      <c r="C14" s="92">
        <f>SUM(C5:C13)</f>
        <v>0</v>
      </c>
      <c r="D14" s="93" t="e">
        <f>SUM(D5:D13)</f>
        <v>#DIV/0!</v>
      </c>
      <c r="E14" s="134"/>
      <c r="F14" s="221"/>
      <c r="G14" s="222"/>
      <c r="H14" s="222"/>
      <c r="I14" s="222"/>
      <c r="J14" s="222"/>
      <c r="K14" s="222"/>
      <c r="L14" s="222"/>
      <c r="M14" s="222"/>
      <c r="N14" s="222"/>
    </row>
    <row r="15" spans="2:16" ht="30" customHeight="1" thickTop="1" thickBot="1" x14ac:dyDescent="0.3">
      <c r="B15" s="60" t="s">
        <v>123</v>
      </c>
      <c r="C15" s="92">
        <f>(C5+C6+C7+C9+C10+C11+C12+C13)*0.25</f>
        <v>0</v>
      </c>
      <c r="D15" s="93" t="e">
        <f>C15/C16</f>
        <v>#DIV/0!</v>
      </c>
      <c r="E15" s="134"/>
      <c r="F15" s="221" t="s">
        <v>140</v>
      </c>
      <c r="G15" s="222"/>
      <c r="H15" s="222"/>
      <c r="I15" s="222"/>
      <c r="J15" s="222"/>
      <c r="K15" s="222"/>
      <c r="L15" s="222"/>
      <c r="M15" s="222"/>
      <c r="N15" s="222"/>
    </row>
    <row r="16" spans="2:16" ht="30" customHeight="1" thickTop="1" thickBot="1" x14ac:dyDescent="0.3">
      <c r="B16" s="61" t="s">
        <v>127</v>
      </c>
      <c r="C16" s="92">
        <f>C14+C15</f>
        <v>0</v>
      </c>
      <c r="D16" s="93" t="e">
        <f>D14+D15</f>
        <v>#DIV/0!</v>
      </c>
      <c r="E16" s="134"/>
      <c r="F16" s="221" t="s">
        <v>207</v>
      </c>
      <c r="G16" s="222"/>
      <c r="H16" s="222"/>
      <c r="I16" s="222"/>
      <c r="J16" s="222"/>
      <c r="K16" s="222"/>
      <c r="L16" s="222"/>
      <c r="M16" s="222"/>
      <c r="N16" s="222"/>
    </row>
    <row r="17" spans="2:16" ht="27.75" customHeight="1" thickTop="1" x14ac:dyDescent="0.25">
      <c r="G17" s="83"/>
      <c r="O17" s="5"/>
      <c r="P17" s="5"/>
    </row>
    <row r="18" spans="2:16" ht="14.4" x14ac:dyDescent="0.25">
      <c r="G18" s="83"/>
    </row>
    <row r="19" spans="2:16" ht="15" thickBot="1" x14ac:dyDescent="0.35">
      <c r="B19" s="65" t="s">
        <v>131</v>
      </c>
      <c r="C19" s="66">
        <v>0.2</v>
      </c>
      <c r="E19" s="217"/>
      <c r="F19" s="217"/>
      <c r="G19" s="218"/>
      <c r="H19" s="218"/>
      <c r="I19" s="218"/>
      <c r="J19" s="218"/>
      <c r="K19" s="146"/>
    </row>
    <row r="20" spans="2:16" ht="15.6" thickTop="1" thickBot="1" x14ac:dyDescent="0.35">
      <c r="B20" s="139" t="s">
        <v>91</v>
      </c>
      <c r="C20" s="99">
        <v>0.11700000000000001</v>
      </c>
      <c r="E20" s="215"/>
      <c r="F20" s="215"/>
      <c r="G20" s="215"/>
      <c r="H20" s="216"/>
      <c r="I20" s="215"/>
      <c r="J20" s="215"/>
      <c r="K20" s="223"/>
      <c r="L20" s="229" t="s">
        <v>190</v>
      </c>
    </row>
    <row r="21" spans="2:16" ht="15.6" thickTop="1" thickBot="1" x14ac:dyDescent="0.35">
      <c r="B21" s="139" t="s">
        <v>92</v>
      </c>
      <c r="C21" s="99">
        <v>2.5000000000000001E-2</v>
      </c>
      <c r="E21" s="215"/>
      <c r="F21" s="215"/>
      <c r="G21" s="215"/>
      <c r="H21" s="216"/>
      <c r="I21" s="215"/>
      <c r="J21" s="215"/>
      <c r="K21" s="223"/>
      <c r="L21" s="229"/>
    </row>
    <row r="22" spans="2:16" ht="15.6" thickTop="1" thickBot="1" x14ac:dyDescent="0.35">
      <c r="B22" s="139" t="s">
        <v>93</v>
      </c>
      <c r="C22" s="99">
        <v>8.0000000000000002E-3</v>
      </c>
      <c r="E22" s="215"/>
      <c r="F22" s="215"/>
      <c r="G22" s="215"/>
      <c r="H22" s="216"/>
      <c r="I22" s="215"/>
      <c r="J22" s="215"/>
      <c r="K22" s="223"/>
      <c r="L22" s="229"/>
    </row>
    <row r="23" spans="2:16" ht="24.75" customHeight="1" thickTop="1" thickBot="1" x14ac:dyDescent="0.35">
      <c r="B23" s="139" t="s">
        <v>94</v>
      </c>
      <c r="C23" s="99">
        <v>0.05</v>
      </c>
      <c r="E23" s="146"/>
      <c r="F23" s="146"/>
      <c r="G23" s="146"/>
      <c r="H23" s="216"/>
      <c r="I23" s="215"/>
      <c r="J23" s="215"/>
      <c r="K23" s="223"/>
      <c r="L23" s="229"/>
    </row>
    <row r="24" spans="2:16" ht="15" thickTop="1" x14ac:dyDescent="0.3">
      <c r="B24" s="129" t="s">
        <v>132</v>
      </c>
      <c r="C24" s="89"/>
      <c r="E24" s="146"/>
      <c r="F24" s="146"/>
      <c r="G24" s="146"/>
      <c r="H24" s="146"/>
      <c r="I24" s="146"/>
      <c r="J24" s="146"/>
      <c r="K24" s="146"/>
    </row>
    <row r="25" spans="2:16" ht="52.5" customHeight="1" x14ac:dyDescent="0.25">
      <c r="C25" s="5"/>
      <c r="D25" s="5"/>
      <c r="E25" s="146"/>
      <c r="F25" s="146"/>
      <c r="G25" s="146"/>
      <c r="H25" s="224"/>
      <c r="I25" s="224"/>
      <c r="J25" s="224"/>
      <c r="K25" s="224"/>
    </row>
    <row r="27" spans="2:16" x14ac:dyDescent="0.25">
      <c r="G27" s="5"/>
    </row>
    <row r="28" spans="2:16" x14ac:dyDescent="0.25">
      <c r="C28" s="137"/>
      <c r="G28" s="5"/>
    </row>
    <row r="32" spans="2:16" ht="17.399999999999999" x14ac:dyDescent="0.25">
      <c r="F32" s="85"/>
    </row>
    <row r="33" spans="6:6" ht="17.399999999999999" x14ac:dyDescent="0.25">
      <c r="F33" s="85"/>
    </row>
    <row r="34" spans="6:6" ht="17.399999999999999" x14ac:dyDescent="0.25">
      <c r="F34" s="85"/>
    </row>
    <row r="35" spans="6:6" ht="17.399999999999999" x14ac:dyDescent="0.25">
      <c r="F35" s="85"/>
    </row>
    <row r="36" spans="6:6" ht="17.399999999999999" x14ac:dyDescent="0.25">
      <c r="F36" s="85"/>
    </row>
    <row r="37" spans="6:6" ht="17.399999999999999" x14ac:dyDescent="0.25">
      <c r="F37" s="85"/>
    </row>
    <row r="38" spans="6:6" ht="13.8" x14ac:dyDescent="0.25">
      <c r="F38" s="87"/>
    </row>
    <row r="39" spans="6:6" ht="13.8" x14ac:dyDescent="0.25">
      <c r="F39" s="87"/>
    </row>
    <row r="40" spans="6:6" ht="13.8" x14ac:dyDescent="0.25">
      <c r="F40" s="87"/>
    </row>
    <row r="41" spans="6:6" ht="13.8" x14ac:dyDescent="0.25">
      <c r="F41" s="87"/>
    </row>
    <row r="42" spans="6:6" ht="13.8" x14ac:dyDescent="0.25">
      <c r="F42" s="87"/>
    </row>
    <row r="43" spans="6:6" ht="13.8" x14ac:dyDescent="0.25">
      <c r="F43" s="88"/>
    </row>
  </sheetData>
  <mergeCells count="28">
    <mergeCell ref="C1:D1"/>
    <mergeCell ref="K20:K23"/>
    <mergeCell ref="H25:K25"/>
    <mergeCell ref="F5:N6"/>
    <mergeCell ref="F12:N12"/>
    <mergeCell ref="H23:J23"/>
    <mergeCell ref="E21:G21"/>
    <mergeCell ref="H21:J21"/>
    <mergeCell ref="E22:G22"/>
    <mergeCell ref="H22:J22"/>
    <mergeCell ref="L20:L23"/>
    <mergeCell ref="F1:K2"/>
    <mergeCell ref="E3:E4"/>
    <mergeCell ref="B3:B4"/>
    <mergeCell ref="C3:C4"/>
    <mergeCell ref="E20:G20"/>
    <mergeCell ref="H20:J20"/>
    <mergeCell ref="D3:D4"/>
    <mergeCell ref="E19:J19"/>
    <mergeCell ref="F7:N7"/>
    <mergeCell ref="F14:N14"/>
    <mergeCell ref="F15:N15"/>
    <mergeCell ref="F16:N16"/>
    <mergeCell ref="F8:N8"/>
    <mergeCell ref="F11:N11"/>
    <mergeCell ref="F13:N13"/>
    <mergeCell ref="F10:N10"/>
    <mergeCell ref="F9:N9"/>
  </mergeCells>
  <conditionalFormatting sqref="K20">
    <cfRule type="expression" dxfId="4" priority="1">
      <formula>IF($F$15&lt;20%,TRUE,FALSE)</formula>
    </cfRule>
  </conditionalFormatting>
  <pageMargins left="0.7" right="0.7" top="0.75" bottom="0.75" header="0.3" footer="0.3"/>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7"/>
  <sheetViews>
    <sheetView showGridLines="0" workbookViewId="0">
      <selection activeCell="C23" sqref="C23"/>
    </sheetView>
  </sheetViews>
  <sheetFormatPr defaultColWidth="8.6640625" defaultRowHeight="13.2" x14ac:dyDescent="0.25"/>
  <cols>
    <col min="1" max="1" width="41.6640625" customWidth="1"/>
    <col min="2" max="2" width="13.109375" customWidth="1"/>
    <col min="3" max="3" width="74.6640625" customWidth="1"/>
    <col min="4" max="10" width="15.6640625" customWidth="1"/>
    <col min="11" max="11" width="9" customWidth="1"/>
    <col min="12" max="12" width="15.44140625" customWidth="1"/>
    <col min="13" max="13" width="1.88671875" customWidth="1"/>
    <col min="20" max="20" width="9.109375" customWidth="1"/>
  </cols>
  <sheetData>
    <row r="1" spans="1:11" ht="16.5" customHeight="1" x14ac:dyDescent="0.3">
      <c r="A1" s="204" t="s">
        <v>105</v>
      </c>
      <c r="B1" s="204"/>
    </row>
    <row r="2" spans="1:11" ht="21" x14ac:dyDescent="0.4">
      <c r="A2" s="234" t="s">
        <v>191</v>
      </c>
      <c r="B2" s="234"/>
      <c r="C2" s="234"/>
      <c r="D2" s="234"/>
      <c r="E2" s="234"/>
      <c r="F2" s="234"/>
      <c r="G2" s="234"/>
      <c r="H2" s="234"/>
      <c r="I2" s="234"/>
      <c r="J2" s="234"/>
    </row>
    <row r="3" spans="1:11" ht="14.4" x14ac:dyDescent="0.3">
      <c r="A3" s="110" t="s">
        <v>192</v>
      </c>
      <c r="B3" s="111">
        <f>'Researcher Remuneration Level'!G4</f>
        <v>2351.530502071023</v>
      </c>
    </row>
    <row r="4" spans="1:11" ht="14.4" x14ac:dyDescent="0.3">
      <c r="A4" s="55" t="s">
        <v>142</v>
      </c>
      <c r="B4" s="55">
        <f>VLOOKUP(B5,'[1]Nivel Remuneratório Doutorado'!$H$4:$I$53,2,FALSE)</f>
        <v>33</v>
      </c>
      <c r="C4" s="55" t="s">
        <v>141</v>
      </c>
      <c r="D4" s="56" t="s">
        <v>143</v>
      </c>
      <c r="E4" s="56" t="s">
        <v>144</v>
      </c>
      <c r="F4" s="56" t="s">
        <v>145</v>
      </c>
      <c r="G4" s="56" t="s">
        <v>146</v>
      </c>
      <c r="H4" s="56" t="s">
        <v>147</v>
      </c>
      <c r="I4" s="56" t="s">
        <v>148</v>
      </c>
      <c r="J4" s="57" t="s">
        <v>149</v>
      </c>
    </row>
    <row r="5" spans="1:11" x14ac:dyDescent="0.25">
      <c r="A5" s="82" t="s">
        <v>193</v>
      </c>
      <c r="B5" s="100">
        <f>B3</f>
        <v>2351.530502071023</v>
      </c>
      <c r="C5" s="9" t="s">
        <v>143</v>
      </c>
      <c r="D5" s="100">
        <f>B5*12</f>
        <v>28218.366024852276</v>
      </c>
      <c r="E5" s="100">
        <f>B5*15</f>
        <v>35272.957531065345</v>
      </c>
      <c r="F5" s="100">
        <f>B5*18</f>
        <v>42327.549037278412</v>
      </c>
      <c r="G5" s="100">
        <f>B5*20</f>
        <v>47030.610041420456</v>
      </c>
      <c r="H5" s="100">
        <f>B5*24</f>
        <v>56436.732049704551</v>
      </c>
      <c r="I5" s="101">
        <f>B5*30</f>
        <v>70545.915062130691</v>
      </c>
      <c r="J5" s="102">
        <f>B5*36</f>
        <v>84655.098074556823</v>
      </c>
    </row>
    <row r="6" spans="1:11" x14ac:dyDescent="0.25">
      <c r="A6" s="82" t="s">
        <v>172</v>
      </c>
      <c r="B6" s="101">
        <f>6*22</f>
        <v>132</v>
      </c>
      <c r="C6" s="10" t="s">
        <v>173</v>
      </c>
      <c r="D6" s="100">
        <f>B6*11</f>
        <v>1452</v>
      </c>
      <c r="E6" s="100">
        <f>B6*14</f>
        <v>1848</v>
      </c>
      <c r="F6" s="100">
        <f>B6*16+B6/2</f>
        <v>2178</v>
      </c>
      <c r="G6" s="100">
        <f>B6*18</f>
        <v>2376</v>
      </c>
      <c r="H6" s="100">
        <f>B6*22</f>
        <v>2904</v>
      </c>
      <c r="I6" s="101">
        <f>B6*28</f>
        <v>3696</v>
      </c>
      <c r="J6" s="102">
        <f>B6*33</f>
        <v>4356</v>
      </c>
    </row>
    <row r="7" spans="1:11" x14ac:dyDescent="0.25">
      <c r="A7" s="82" t="s">
        <v>175</v>
      </c>
      <c r="B7" s="101">
        <f>B5</f>
        <v>2351.530502071023</v>
      </c>
      <c r="C7" s="10" t="s">
        <v>164</v>
      </c>
      <c r="D7" s="100">
        <f>B7</f>
        <v>2351.530502071023</v>
      </c>
      <c r="E7" s="100">
        <f>B5*15/12</f>
        <v>2939.4131275887789</v>
      </c>
      <c r="F7" s="100">
        <f>B5*18/12</f>
        <v>3527.2957531065344</v>
      </c>
      <c r="G7" s="100">
        <f>B5*20/12</f>
        <v>3919.2175034517045</v>
      </c>
      <c r="H7" s="100">
        <f>B7*2</f>
        <v>4703.0610041420459</v>
      </c>
      <c r="I7" s="101">
        <f>(D7*2)+D7/2</f>
        <v>5878.826255177557</v>
      </c>
      <c r="J7" s="102">
        <f>D7*3</f>
        <v>7054.5915062130689</v>
      </c>
    </row>
    <row r="8" spans="1:11" x14ac:dyDescent="0.25">
      <c r="A8" s="82" t="s">
        <v>176</v>
      </c>
      <c r="B8" s="100">
        <f>B5/12</f>
        <v>195.96087517258525</v>
      </c>
      <c r="C8" s="10" t="s">
        <v>196</v>
      </c>
      <c r="D8" s="100">
        <f>B8*12</f>
        <v>2351.530502071023</v>
      </c>
      <c r="E8" s="100">
        <f>B8*15</f>
        <v>2939.4131275887785</v>
      </c>
      <c r="F8" s="100">
        <f>B8*18</f>
        <v>3527.2957531065344</v>
      </c>
      <c r="G8" s="100">
        <f>B8*20</f>
        <v>3919.2175034517049</v>
      </c>
      <c r="H8" s="100">
        <f>B8*24</f>
        <v>4703.0610041420459</v>
      </c>
      <c r="I8" s="101">
        <f>B8*30</f>
        <v>5878.826255177557</v>
      </c>
      <c r="J8" s="102">
        <f>B8*36</f>
        <v>7054.5915062130689</v>
      </c>
    </row>
    <row r="9" spans="1:11" x14ac:dyDescent="0.25">
      <c r="A9" s="79" t="s">
        <v>158</v>
      </c>
      <c r="B9" s="103">
        <f>(B5/30)*18</f>
        <v>1410.9183012426138</v>
      </c>
      <c r="C9" s="81" t="s">
        <v>165</v>
      </c>
      <c r="D9" s="103">
        <f>B9</f>
        <v>1410.9183012426138</v>
      </c>
      <c r="E9" s="103">
        <f>(B5/30*(18*15/12))</f>
        <v>1763.6478765532672</v>
      </c>
      <c r="F9" s="103">
        <f>B9+B9/2</f>
        <v>2116.3774518639207</v>
      </c>
      <c r="G9" s="103">
        <f>(B5/30*(18*20/12))</f>
        <v>2351.530502071023</v>
      </c>
      <c r="H9" s="103">
        <f>B9*2</f>
        <v>2821.8366024852276</v>
      </c>
      <c r="I9" s="103">
        <f>(B9*2)+B9/2</f>
        <v>3527.2957531065344</v>
      </c>
      <c r="J9" s="104">
        <f>B9*3</f>
        <v>4232.7549037278413</v>
      </c>
    </row>
    <row r="10" spans="1:11" x14ac:dyDescent="0.25">
      <c r="A10" s="53" t="s">
        <v>163</v>
      </c>
      <c r="B10" s="100">
        <f>'Accident Insurance'!B14</f>
        <v>215.10424021817948</v>
      </c>
      <c r="C10" s="10" t="s">
        <v>197</v>
      </c>
      <c r="D10" s="100">
        <f>B10</f>
        <v>215.10424021817948</v>
      </c>
      <c r="E10" s="100">
        <f>B10*(15/12)</f>
        <v>268.88030027272436</v>
      </c>
      <c r="F10" s="100">
        <f>B10*1.5</f>
        <v>322.65636032726923</v>
      </c>
      <c r="G10" s="100">
        <f>B10*(20/12)</f>
        <v>358.50706703029914</v>
      </c>
      <c r="H10" s="100">
        <f>B10*2</f>
        <v>430.20848043635897</v>
      </c>
      <c r="I10" s="101">
        <f>(B10*2)+B10/2</f>
        <v>537.76060054544871</v>
      </c>
      <c r="J10" s="102">
        <f>B10*3</f>
        <v>645.31272065453845</v>
      </c>
    </row>
    <row r="11" spans="1:11" ht="14.4" x14ac:dyDescent="0.3">
      <c r="A11" s="141" t="s">
        <v>174</v>
      </c>
      <c r="B11" s="118">
        <f>B5</f>
        <v>2351.530502071023</v>
      </c>
      <c r="C11" s="81" t="s">
        <v>166</v>
      </c>
      <c r="D11" s="103">
        <f>B11</f>
        <v>2351.530502071023</v>
      </c>
      <c r="E11" s="103">
        <f>B11</f>
        <v>2351.530502071023</v>
      </c>
      <c r="F11" s="103">
        <f>B11</f>
        <v>2351.530502071023</v>
      </c>
      <c r="G11" s="103">
        <f>B11</f>
        <v>2351.530502071023</v>
      </c>
      <c r="H11" s="103">
        <f>B11</f>
        <v>2351.530502071023</v>
      </c>
      <c r="I11" s="103">
        <f>D11</f>
        <v>2351.530502071023</v>
      </c>
      <c r="J11" s="104">
        <f>B11</f>
        <v>2351.530502071023</v>
      </c>
    </row>
    <row r="12" spans="1:11" ht="14.4" x14ac:dyDescent="0.3">
      <c r="A12" s="141" t="s">
        <v>177</v>
      </c>
      <c r="B12" s="118">
        <f>B5</f>
        <v>2351.530502071023</v>
      </c>
      <c r="C12" s="81" t="s">
        <v>166</v>
      </c>
      <c r="D12" s="103">
        <f>B12</f>
        <v>2351.530502071023</v>
      </c>
      <c r="E12" s="103">
        <f>B12</f>
        <v>2351.530502071023</v>
      </c>
      <c r="F12" s="103">
        <f>B12</f>
        <v>2351.530502071023</v>
      </c>
      <c r="G12" s="103">
        <f>B12</f>
        <v>2351.530502071023</v>
      </c>
      <c r="H12" s="103">
        <f>B12</f>
        <v>2351.530502071023</v>
      </c>
      <c r="I12" s="103">
        <f>D12</f>
        <v>2351.530502071023</v>
      </c>
      <c r="J12" s="104">
        <f>B12</f>
        <v>2351.530502071023</v>
      </c>
    </row>
    <row r="13" spans="1:11" ht="14.4" x14ac:dyDescent="0.3">
      <c r="A13" s="141" t="s">
        <v>178</v>
      </c>
      <c r="B13" s="118">
        <f>B5</f>
        <v>2351.530502071023</v>
      </c>
      <c r="C13" s="81" t="s">
        <v>166</v>
      </c>
      <c r="D13" s="103">
        <f>B13</f>
        <v>2351.530502071023</v>
      </c>
      <c r="E13" s="103">
        <f>B13</f>
        <v>2351.530502071023</v>
      </c>
      <c r="F13" s="103">
        <f>B13</f>
        <v>2351.530502071023</v>
      </c>
      <c r="G13" s="103">
        <f>B13</f>
        <v>2351.530502071023</v>
      </c>
      <c r="H13" s="103">
        <f>B13</f>
        <v>2351.530502071023</v>
      </c>
      <c r="I13" s="103">
        <f>D13</f>
        <v>2351.530502071023</v>
      </c>
      <c r="J13" s="104">
        <f>B13</f>
        <v>2351.530502071023</v>
      </c>
    </row>
    <row r="14" spans="1:11" x14ac:dyDescent="0.25">
      <c r="A14" s="53" t="s">
        <v>160</v>
      </c>
      <c r="B14" s="167">
        <v>0.223</v>
      </c>
      <c r="C14" s="10" t="s">
        <v>167</v>
      </c>
      <c r="D14" s="105">
        <f>B14*(D8+D7+D5)</f>
        <v>7341.4782274657346</v>
      </c>
      <c r="E14" s="105">
        <f>B14*(E8+E7+E5)</f>
        <v>9176.8477843321671</v>
      </c>
      <c r="F14" s="105">
        <f>B14*(F8+F7+F5)</f>
        <v>11012.2173411986</v>
      </c>
      <c r="G14" s="105">
        <f>B14*(G8+G7+G5)</f>
        <v>12235.797045776222</v>
      </c>
      <c r="H14" s="105">
        <f>B14*(H8+H7+H5)</f>
        <v>14682.956454931469</v>
      </c>
      <c r="I14" s="105">
        <f>B14*(I8+I7+I5)</f>
        <v>18353.695568664334</v>
      </c>
      <c r="J14" s="105">
        <f>B14*(J8+J7+J5)</f>
        <v>22024.434682397201</v>
      </c>
      <c r="K14" s="5"/>
    </row>
    <row r="15" spans="1:11" x14ac:dyDescent="0.25">
      <c r="A15" s="79" t="s">
        <v>161</v>
      </c>
      <c r="B15" s="140">
        <v>0.223</v>
      </c>
      <c r="C15" s="81" t="s">
        <v>167</v>
      </c>
      <c r="D15" s="103">
        <f>B15*(D11+D12+D13)</f>
        <v>1573.1739058855144</v>
      </c>
      <c r="E15" s="103">
        <f>B15*(E11+E12+E13)</f>
        <v>1573.1739058855144</v>
      </c>
      <c r="F15" s="103">
        <f>B15*(F11+F12+F13)</f>
        <v>1573.1739058855144</v>
      </c>
      <c r="G15" s="103">
        <f>B15*(G11+G12+G13)</f>
        <v>1573.1739058855144</v>
      </c>
      <c r="H15" s="103">
        <f>B15*(H11+H12+H13)</f>
        <v>1573.1739058855144</v>
      </c>
      <c r="I15" s="103">
        <f>B15*(I11+I12+I13)</f>
        <v>1573.1739058855144</v>
      </c>
      <c r="J15" s="103">
        <f>B15*(J11+J12+J13)</f>
        <v>1573.1739058855144</v>
      </c>
      <c r="K15" s="5"/>
    </row>
    <row r="16" spans="1:11" x14ac:dyDescent="0.25">
      <c r="A16" s="79" t="s">
        <v>183</v>
      </c>
      <c r="B16" s="80">
        <f>B5*1%</f>
        <v>23.51530502071023</v>
      </c>
      <c r="C16" s="81" t="s">
        <v>168</v>
      </c>
      <c r="D16" s="103">
        <f>B16*12</f>
        <v>282.18366024852276</v>
      </c>
      <c r="E16" s="103">
        <f>B16*15</f>
        <v>352.72957531065344</v>
      </c>
      <c r="F16" s="103">
        <f>B16*18</f>
        <v>423.27549037278413</v>
      </c>
      <c r="G16" s="103">
        <f>B16*20</f>
        <v>470.30610041420459</v>
      </c>
      <c r="H16" s="103">
        <f>B16*24</f>
        <v>564.36732049704551</v>
      </c>
      <c r="I16" s="103">
        <f>B16*30</f>
        <v>705.45915062130689</v>
      </c>
      <c r="J16" s="104">
        <f>B16*36</f>
        <v>846.55098074556827</v>
      </c>
    </row>
    <row r="17" spans="1:19" x14ac:dyDescent="0.25">
      <c r="A17" s="11" t="s">
        <v>170</v>
      </c>
      <c r="B17" s="8">
        <v>100</v>
      </c>
      <c r="C17" s="10" t="s">
        <v>169</v>
      </c>
      <c r="D17" s="100">
        <f>B17</f>
        <v>100</v>
      </c>
      <c r="E17" s="100">
        <f>B17</f>
        <v>100</v>
      </c>
      <c r="F17" s="100">
        <f>B17</f>
        <v>100</v>
      </c>
      <c r="G17" s="100">
        <f>B17</f>
        <v>100</v>
      </c>
      <c r="H17" s="100">
        <v>100</v>
      </c>
      <c r="I17" s="100">
        <f>B17</f>
        <v>100</v>
      </c>
      <c r="J17" s="100">
        <f>B17</f>
        <v>100</v>
      </c>
    </row>
    <row r="18" spans="1:19" x14ac:dyDescent="0.25">
      <c r="A18" s="231" t="s">
        <v>171</v>
      </c>
      <c r="B18" s="232"/>
      <c r="C18" s="233"/>
      <c r="D18" s="106">
        <f t="shared" ref="D18:J18" si="0">SUM(D5:D17)</f>
        <v>52350.876870267952</v>
      </c>
      <c r="E18" s="106">
        <f t="shared" si="0"/>
        <v>63289.65473481029</v>
      </c>
      <c r="F18" s="106">
        <f>SUM(F5:F17)</f>
        <v>74162.432599352644</v>
      </c>
      <c r="G18" s="106">
        <f>SUM(G5:G17)</f>
        <v>81388.951175714203</v>
      </c>
      <c r="H18" s="106">
        <f>SUM(H5:H17)</f>
        <v>95973.988328437321</v>
      </c>
      <c r="I18" s="106">
        <f>SUM(I5:I17)</f>
        <v>117851.544057522</v>
      </c>
      <c r="J18" s="106">
        <f t="shared" si="0"/>
        <v>139597.0997866067</v>
      </c>
    </row>
    <row r="19" spans="1:19" x14ac:dyDescent="0.25">
      <c r="D19" s="107"/>
      <c r="E19" s="107"/>
      <c r="F19" s="107"/>
      <c r="G19" s="107"/>
      <c r="H19" s="107"/>
      <c r="I19" s="107"/>
      <c r="J19" s="107"/>
      <c r="S19" s="90"/>
    </row>
    <row r="20" spans="1:19" ht="14.4" x14ac:dyDescent="0.3">
      <c r="A20" s="23"/>
      <c r="C20" s="23"/>
    </row>
    <row r="21" spans="1:19" ht="14.4" x14ac:dyDescent="0.3">
      <c r="A21" s="23"/>
      <c r="C21" s="23"/>
      <c r="F21" s="5"/>
      <c r="G21" s="5"/>
      <c r="H21" s="5"/>
      <c r="I21" s="5"/>
    </row>
    <row r="22" spans="1:19" ht="14.4" x14ac:dyDescent="0.3">
      <c r="A22" s="23"/>
      <c r="C22" s="23"/>
    </row>
    <row r="23" spans="1:19" ht="14.4" x14ac:dyDescent="0.3">
      <c r="A23" s="23"/>
      <c r="C23" s="23"/>
    </row>
    <row r="24" spans="1:19" ht="14.4" x14ac:dyDescent="0.3">
      <c r="A24" s="23"/>
      <c r="C24" s="23"/>
    </row>
    <row r="25" spans="1:19" ht="14.4" x14ac:dyDescent="0.3">
      <c r="A25" s="23"/>
      <c r="C25" s="23"/>
    </row>
    <row r="26" spans="1:19" ht="14.4" x14ac:dyDescent="0.3">
      <c r="C26" s="23"/>
    </row>
    <row r="27" spans="1:19" ht="14.4" x14ac:dyDescent="0.3">
      <c r="C27" s="23"/>
    </row>
  </sheetData>
  <mergeCells count="3">
    <mergeCell ref="A18:C18"/>
    <mergeCell ref="A2:J2"/>
    <mergeCell ref="A1:B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22"/>
  <sheetViews>
    <sheetView showGridLines="0" workbookViewId="0">
      <selection activeCell="C30" sqref="C30"/>
    </sheetView>
  </sheetViews>
  <sheetFormatPr defaultColWidth="8.6640625" defaultRowHeight="13.2" x14ac:dyDescent="0.25"/>
  <cols>
    <col min="1" max="1" width="41.6640625" customWidth="1"/>
    <col min="2" max="2" width="13.88671875" customWidth="1"/>
    <col min="3" max="3" width="72.6640625" customWidth="1"/>
    <col min="4" max="10" width="15.6640625" customWidth="1"/>
    <col min="11" max="11" width="7.6640625" customWidth="1"/>
    <col min="12" max="12" width="15.44140625" customWidth="1"/>
    <col min="13" max="13" width="2.44140625" customWidth="1"/>
    <col min="20" max="20" width="11.44140625" customWidth="1"/>
    <col min="21" max="21" width="2.33203125" customWidth="1"/>
  </cols>
  <sheetData>
    <row r="2" spans="1:12" ht="21" x14ac:dyDescent="0.4">
      <c r="A2" s="234" t="s">
        <v>195</v>
      </c>
      <c r="B2" s="234"/>
      <c r="C2" s="234"/>
      <c r="D2" s="234"/>
      <c r="E2" s="234"/>
      <c r="F2" s="234"/>
      <c r="G2" s="234"/>
      <c r="H2" s="234"/>
      <c r="I2" s="234"/>
      <c r="J2" s="234"/>
    </row>
    <row r="3" spans="1:12" ht="21.6" thickBot="1" x14ac:dyDescent="0.45">
      <c r="A3" s="17"/>
      <c r="B3" s="17"/>
      <c r="C3" s="17"/>
      <c r="D3" s="17"/>
      <c r="E3" s="17"/>
      <c r="F3" s="115"/>
      <c r="G3" s="115"/>
      <c r="H3" s="116"/>
      <c r="I3" s="17"/>
      <c r="J3" s="17"/>
    </row>
    <row r="4" spans="1:12" ht="21.6" thickBot="1" x14ac:dyDescent="0.45">
      <c r="A4" s="68" t="s">
        <v>181</v>
      </c>
      <c r="B4" s="235" t="s">
        <v>179</v>
      </c>
      <c r="C4" s="236"/>
      <c r="D4" s="69" t="s">
        <v>180</v>
      </c>
      <c r="E4" s="17"/>
      <c r="F4" s="115"/>
      <c r="G4" s="115"/>
      <c r="H4" s="116"/>
      <c r="I4" s="17"/>
      <c r="J4" s="117"/>
    </row>
    <row r="5" spans="1:12" ht="13.8" thickBot="1" x14ac:dyDescent="0.3">
      <c r="A5" s="142" t="s">
        <v>182</v>
      </c>
      <c r="B5" s="75">
        <v>2</v>
      </c>
      <c r="C5" s="76">
        <v>16</v>
      </c>
      <c r="D5" s="77">
        <v>1442.56</v>
      </c>
    </row>
    <row r="6" spans="1:12" x14ac:dyDescent="0.25">
      <c r="A6" s="74"/>
      <c r="B6" s="71"/>
      <c r="C6" s="72"/>
      <c r="D6" s="73"/>
    </row>
    <row r="7" spans="1:12" x14ac:dyDescent="0.25">
      <c r="A7" s="70"/>
      <c r="B7" s="71"/>
      <c r="C7" s="72"/>
      <c r="D7" s="73"/>
    </row>
    <row r="8" spans="1:12" ht="14.4" x14ac:dyDescent="0.3">
      <c r="A8" s="54" t="s">
        <v>142</v>
      </c>
      <c r="B8" s="55">
        <v>15</v>
      </c>
      <c r="C8" s="55" t="s">
        <v>141</v>
      </c>
      <c r="D8" s="56" t="s">
        <v>143</v>
      </c>
      <c r="E8" s="56" t="s">
        <v>144</v>
      </c>
      <c r="F8" s="56" t="s">
        <v>145</v>
      </c>
      <c r="G8" s="56" t="s">
        <v>146</v>
      </c>
      <c r="H8" s="56" t="s">
        <v>147</v>
      </c>
      <c r="I8" s="56" t="s">
        <v>148</v>
      </c>
      <c r="J8" s="57" t="s">
        <v>149</v>
      </c>
    </row>
    <row r="9" spans="1:12" x14ac:dyDescent="0.25">
      <c r="A9" s="53" t="s">
        <v>194</v>
      </c>
      <c r="B9" s="100">
        <f>D5</f>
        <v>1442.56</v>
      </c>
      <c r="C9" s="9" t="s">
        <v>143</v>
      </c>
      <c r="D9" s="100">
        <f>B9*12</f>
        <v>17310.72</v>
      </c>
      <c r="E9" s="100">
        <f>B9*15</f>
        <v>21638.399999999998</v>
      </c>
      <c r="F9" s="100">
        <f>B9*18</f>
        <v>25966.079999999998</v>
      </c>
      <c r="G9" s="100">
        <f>B9*20</f>
        <v>28851.199999999997</v>
      </c>
      <c r="H9" s="100">
        <f>B9*24</f>
        <v>34621.440000000002</v>
      </c>
      <c r="I9" s="101">
        <f>B9*30</f>
        <v>43276.799999999996</v>
      </c>
      <c r="J9" s="102">
        <f>B9*36</f>
        <v>51932.159999999996</v>
      </c>
      <c r="L9" s="108"/>
    </row>
    <row r="10" spans="1:12" x14ac:dyDescent="0.25">
      <c r="A10" s="53" t="s">
        <v>172</v>
      </c>
      <c r="B10" s="100">
        <f>6*22</f>
        <v>132</v>
      </c>
      <c r="C10" s="10" t="s">
        <v>173</v>
      </c>
      <c r="D10" s="100">
        <f>B10*11</f>
        <v>1452</v>
      </c>
      <c r="E10" s="100">
        <f>B10*14</f>
        <v>1848</v>
      </c>
      <c r="F10" s="100">
        <f>B10*16+B10/2</f>
        <v>2178</v>
      </c>
      <c r="G10" s="100">
        <f>B10*18</f>
        <v>2376</v>
      </c>
      <c r="H10" s="100">
        <f>B10*22</f>
        <v>2904</v>
      </c>
      <c r="I10" s="101">
        <f>B10*28</f>
        <v>3696</v>
      </c>
      <c r="J10" s="102">
        <f>B10*33</f>
        <v>4356</v>
      </c>
    </row>
    <row r="11" spans="1:12" x14ac:dyDescent="0.25">
      <c r="A11" s="53" t="s">
        <v>175</v>
      </c>
      <c r="B11" s="100">
        <f>B9</f>
        <v>1442.56</v>
      </c>
      <c r="C11" s="10" t="s">
        <v>164</v>
      </c>
      <c r="D11" s="100">
        <f>B11</f>
        <v>1442.56</v>
      </c>
      <c r="E11" s="100">
        <f>B9*15/12</f>
        <v>1803.1999999999998</v>
      </c>
      <c r="F11" s="100">
        <f>B11*18/12</f>
        <v>2163.8399999999997</v>
      </c>
      <c r="G11" s="100">
        <f>B11*20/12</f>
        <v>2404.2666666666664</v>
      </c>
      <c r="H11" s="100">
        <f>B11*2</f>
        <v>2885.12</v>
      </c>
      <c r="I11" s="101">
        <f>(D11*2)+D11/2</f>
        <v>3606.3999999999996</v>
      </c>
      <c r="J11" s="102">
        <f>D11*3</f>
        <v>4327.68</v>
      </c>
    </row>
    <row r="12" spans="1:12" x14ac:dyDescent="0.25">
      <c r="A12" s="53" t="s">
        <v>176</v>
      </c>
      <c r="B12" s="100">
        <f>B9/12</f>
        <v>120.21333333333332</v>
      </c>
      <c r="C12" s="10" t="s">
        <v>196</v>
      </c>
      <c r="D12" s="100">
        <f>B12*12</f>
        <v>1442.56</v>
      </c>
      <c r="E12" s="100">
        <f>B12*15</f>
        <v>1803.1999999999998</v>
      </c>
      <c r="F12" s="100">
        <f>B12*18</f>
        <v>2163.8399999999997</v>
      </c>
      <c r="G12" s="100">
        <f>B12*20</f>
        <v>2404.2666666666664</v>
      </c>
      <c r="H12" s="100">
        <f>B12*24</f>
        <v>2885.12</v>
      </c>
      <c r="I12" s="101">
        <f>B12*30</f>
        <v>3606.3999999999996</v>
      </c>
      <c r="J12" s="102">
        <f>B12*36</f>
        <v>4327.6799999999994</v>
      </c>
    </row>
    <row r="13" spans="1:12" x14ac:dyDescent="0.25">
      <c r="A13" s="79" t="s">
        <v>158</v>
      </c>
      <c r="B13" s="103">
        <f>(B9/30)*18</f>
        <v>865.53599999999994</v>
      </c>
      <c r="C13" s="81" t="s">
        <v>165</v>
      </c>
      <c r="D13" s="103">
        <f>B13</f>
        <v>865.53599999999994</v>
      </c>
      <c r="E13" s="103">
        <f>B13+B13/4</f>
        <v>1081.9199999999998</v>
      </c>
      <c r="F13" s="103">
        <f>B13+B13/2</f>
        <v>1298.3039999999999</v>
      </c>
      <c r="G13" s="103">
        <f>B13*20/12</f>
        <v>1442.5599999999997</v>
      </c>
      <c r="H13" s="103">
        <f>B13*2</f>
        <v>1731.0719999999999</v>
      </c>
      <c r="I13" s="103">
        <f>(B13*2)+B13/2</f>
        <v>2163.8399999999997</v>
      </c>
      <c r="J13" s="104">
        <f>B13*3</f>
        <v>2596.6079999999997</v>
      </c>
    </row>
    <row r="14" spans="1:12" x14ac:dyDescent="0.25">
      <c r="A14" s="53" t="s">
        <v>163</v>
      </c>
      <c r="B14" s="100">
        <v>120</v>
      </c>
      <c r="C14" s="10" t="s">
        <v>198</v>
      </c>
      <c r="D14" s="100">
        <f>B14</f>
        <v>120</v>
      </c>
      <c r="E14" s="100">
        <f>(D14/2)+D14</f>
        <v>180</v>
      </c>
      <c r="F14" s="100">
        <f>B14*1.5</f>
        <v>180</v>
      </c>
      <c r="G14" s="100">
        <f>B14*20/12</f>
        <v>200</v>
      </c>
      <c r="H14" s="100">
        <f>B14*2</f>
        <v>240</v>
      </c>
      <c r="I14" s="101">
        <f>(B14*2)+B14/2</f>
        <v>300</v>
      </c>
      <c r="J14" s="102">
        <f>B14*3</f>
        <v>360</v>
      </c>
    </row>
    <row r="15" spans="1:12" x14ac:dyDescent="0.25">
      <c r="A15" s="79" t="s">
        <v>174</v>
      </c>
      <c r="B15" s="103">
        <f>B9</f>
        <v>1442.56</v>
      </c>
      <c r="C15" s="81" t="s">
        <v>166</v>
      </c>
      <c r="D15" s="103">
        <f>B15</f>
        <v>1442.56</v>
      </c>
      <c r="E15" s="103">
        <f>B15</f>
        <v>1442.56</v>
      </c>
      <c r="F15" s="103">
        <f>B15</f>
        <v>1442.56</v>
      </c>
      <c r="G15" s="103">
        <f>B15</f>
        <v>1442.56</v>
      </c>
      <c r="H15" s="103">
        <f>B15</f>
        <v>1442.56</v>
      </c>
      <c r="I15" s="103">
        <f>D15</f>
        <v>1442.56</v>
      </c>
      <c r="J15" s="104">
        <f>B15</f>
        <v>1442.56</v>
      </c>
    </row>
    <row r="16" spans="1:12" x14ac:dyDescent="0.25">
      <c r="A16" s="79" t="s">
        <v>177</v>
      </c>
      <c r="B16" s="103">
        <f>B9</f>
        <v>1442.56</v>
      </c>
      <c r="C16" s="81" t="s">
        <v>166</v>
      </c>
      <c r="D16" s="103">
        <f>B16</f>
        <v>1442.56</v>
      </c>
      <c r="E16" s="103">
        <f>B16</f>
        <v>1442.56</v>
      </c>
      <c r="F16" s="103">
        <f>B16</f>
        <v>1442.56</v>
      </c>
      <c r="G16" s="103">
        <f>B16</f>
        <v>1442.56</v>
      </c>
      <c r="H16" s="103">
        <f>B16</f>
        <v>1442.56</v>
      </c>
      <c r="I16" s="103">
        <f>D16</f>
        <v>1442.56</v>
      </c>
      <c r="J16" s="104">
        <f>B16</f>
        <v>1442.56</v>
      </c>
    </row>
    <row r="17" spans="1:11" x14ac:dyDescent="0.25">
      <c r="A17" s="79" t="s">
        <v>178</v>
      </c>
      <c r="B17" s="103">
        <f>B9</f>
        <v>1442.56</v>
      </c>
      <c r="C17" s="81" t="s">
        <v>166</v>
      </c>
      <c r="D17" s="103">
        <f>B17</f>
        <v>1442.56</v>
      </c>
      <c r="E17" s="103">
        <f>B17</f>
        <v>1442.56</v>
      </c>
      <c r="F17" s="103">
        <f>B17</f>
        <v>1442.56</v>
      </c>
      <c r="G17" s="103">
        <f>B17</f>
        <v>1442.56</v>
      </c>
      <c r="H17" s="103">
        <f>B17</f>
        <v>1442.56</v>
      </c>
      <c r="I17" s="103">
        <f>D17</f>
        <v>1442.56</v>
      </c>
      <c r="J17" s="104">
        <f>B17</f>
        <v>1442.56</v>
      </c>
    </row>
    <row r="18" spans="1:11" x14ac:dyDescent="0.25">
      <c r="A18" s="53" t="s">
        <v>160</v>
      </c>
      <c r="B18" s="12">
        <v>0.223</v>
      </c>
      <c r="C18" s="10" t="s">
        <v>167</v>
      </c>
      <c r="D18" s="105">
        <f>(D9+D11+D12)*B18</f>
        <v>4503.6723200000006</v>
      </c>
      <c r="E18" s="105">
        <f>(E9+E11+E12)*B18</f>
        <v>5629.5904</v>
      </c>
      <c r="F18" s="105">
        <f>(F9+F11+F12)*B18</f>
        <v>6755.5084799999995</v>
      </c>
      <c r="G18" s="105">
        <f>(G9+G11+G12)*B18</f>
        <v>7506.1205333333328</v>
      </c>
      <c r="H18" s="105">
        <f>(H9+H11+H12)*B18</f>
        <v>9007.3446400000012</v>
      </c>
      <c r="I18" s="101">
        <f>(I9+I11+I12)*B18</f>
        <v>11259.1808</v>
      </c>
      <c r="J18" s="102">
        <f>(J9+J11+J12)*B18</f>
        <v>13511.016959999999</v>
      </c>
      <c r="K18" s="5"/>
    </row>
    <row r="19" spans="1:11" x14ac:dyDescent="0.25">
      <c r="A19" s="79" t="s">
        <v>161</v>
      </c>
      <c r="B19" s="140">
        <v>0.223</v>
      </c>
      <c r="C19" s="81" t="s">
        <v>167</v>
      </c>
      <c r="D19" s="103">
        <f>B19*(D15+D16+D17)</f>
        <v>965.07264000000009</v>
      </c>
      <c r="E19" s="103">
        <f>B19*(E15+E16+E17)</f>
        <v>965.07264000000009</v>
      </c>
      <c r="F19" s="103">
        <f>B19*(F15+F16+F17)</f>
        <v>965.07264000000009</v>
      </c>
      <c r="G19" s="103">
        <f>B19*(G15+G16+G17)</f>
        <v>965.07264000000009</v>
      </c>
      <c r="H19" s="103">
        <f>B19*(H15+H16+H17)</f>
        <v>965.07264000000009</v>
      </c>
      <c r="I19" s="103">
        <f>B19*(I15+I16+I17)</f>
        <v>965.07264000000009</v>
      </c>
      <c r="J19" s="103">
        <f>B19*(J15+J16+J17)</f>
        <v>965.07264000000009</v>
      </c>
      <c r="K19" s="5"/>
    </row>
    <row r="20" spans="1:11" x14ac:dyDescent="0.25">
      <c r="A20" s="79" t="s">
        <v>183</v>
      </c>
      <c r="B20" s="80">
        <f>B9*1%</f>
        <v>14.425599999999999</v>
      </c>
      <c r="C20" s="81" t="s">
        <v>168</v>
      </c>
      <c r="D20" s="103">
        <f>B20*12</f>
        <v>173.10719999999998</v>
      </c>
      <c r="E20" s="103">
        <f>B20*15</f>
        <v>216.38399999999999</v>
      </c>
      <c r="F20" s="103">
        <f>B20*18</f>
        <v>259.66079999999999</v>
      </c>
      <c r="G20" s="103">
        <f>B20*20</f>
        <v>288.512</v>
      </c>
      <c r="H20" s="103">
        <f>B20*24</f>
        <v>346.21439999999996</v>
      </c>
      <c r="I20" s="103">
        <f>B20*30</f>
        <v>432.76799999999997</v>
      </c>
      <c r="J20" s="104">
        <f>B20*36</f>
        <v>519.32159999999999</v>
      </c>
    </row>
    <row r="21" spans="1:11" x14ac:dyDescent="0.25">
      <c r="A21" s="11" t="s">
        <v>170</v>
      </c>
      <c r="B21" s="8">
        <v>100</v>
      </c>
      <c r="C21" s="10" t="s">
        <v>169</v>
      </c>
      <c r="D21" s="100">
        <f>B21</f>
        <v>100</v>
      </c>
      <c r="E21" s="100">
        <f>B21</f>
        <v>100</v>
      </c>
      <c r="F21" s="100">
        <f>B21</f>
        <v>100</v>
      </c>
      <c r="G21" s="100">
        <f>B21</f>
        <v>100</v>
      </c>
      <c r="H21" s="100">
        <v>100</v>
      </c>
      <c r="I21" s="100">
        <f>B21</f>
        <v>100</v>
      </c>
      <c r="J21" s="100">
        <f>B21</f>
        <v>100</v>
      </c>
    </row>
    <row r="22" spans="1:11" x14ac:dyDescent="0.25">
      <c r="A22" s="231" t="s">
        <v>171</v>
      </c>
      <c r="B22" s="232"/>
      <c r="C22" s="233"/>
      <c r="D22" s="106">
        <f t="shared" ref="D22:H22" si="0">SUM(D9:D21)</f>
        <v>32702.908160000006</v>
      </c>
      <c r="E22" s="106">
        <f t="shared" si="0"/>
        <v>39593.447039999999</v>
      </c>
      <c r="F22" s="106">
        <f t="shared" si="0"/>
        <v>46357.985919999985</v>
      </c>
      <c r="G22" s="106">
        <f t="shared" si="0"/>
        <v>50865.678506666649</v>
      </c>
      <c r="H22" s="106">
        <f t="shared" si="0"/>
        <v>60013.063679999999</v>
      </c>
      <c r="I22" s="106">
        <f>SUM(I9:I21)</f>
        <v>73734.141439999978</v>
      </c>
      <c r="J22" s="106">
        <f>SUM(J9:J21)</f>
        <v>87323.219199999978</v>
      </c>
    </row>
  </sheetData>
  <mergeCells count="3">
    <mergeCell ref="A2:J2"/>
    <mergeCell ref="A22:C22"/>
    <mergeCell ref="B4:C4"/>
  </mergeCells>
  <conditionalFormatting sqref="B5:D7">
    <cfRule type="expression" dxfId="3" priority="3" stopIfTrue="1">
      <formula>LEN($B5)&gt;3</formula>
    </cfRule>
    <cfRule type="expression" dxfId="2" priority="4" stopIfTrue="1">
      <formula>LEN($B5)&lt;3</formula>
    </cfRule>
  </conditionalFormatting>
  <conditionalFormatting sqref="A5:A7">
    <cfRule type="expression" dxfId="1" priority="1" stopIfTrue="1">
      <formula>LEN($B5)&gt;3</formula>
    </cfRule>
    <cfRule type="expression" dxfId="0" priority="2" stopIfTrue="1">
      <formula>LEN($B5)&lt;3</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M35"/>
  <sheetViews>
    <sheetView showGridLines="0" tabSelected="1" workbookViewId="0">
      <selection activeCell="A11" sqref="A11"/>
    </sheetView>
  </sheetViews>
  <sheetFormatPr defaultColWidth="8.5546875" defaultRowHeight="13.2" x14ac:dyDescent="0.25"/>
  <cols>
    <col min="1" max="1" width="3.44140625" customWidth="1"/>
    <col min="2" max="2" width="60.5546875" customWidth="1"/>
    <col min="3" max="5" width="12.5546875" customWidth="1"/>
    <col min="6" max="6" width="10.6640625" customWidth="1"/>
    <col min="7" max="7" width="16.33203125" customWidth="1"/>
    <col min="8" max="13" width="12.5546875" customWidth="1"/>
    <col min="14" max="14" width="9.109375" customWidth="1"/>
    <col min="15" max="17" width="12.5546875" customWidth="1"/>
    <col min="18" max="18" width="9.109375" customWidth="1"/>
    <col min="19" max="19" width="8.44140625" customWidth="1"/>
    <col min="20" max="20" width="14.5546875" customWidth="1"/>
    <col min="21" max="21" width="141.5546875" bestFit="1" customWidth="1"/>
    <col min="22" max="27" width="14.5546875" customWidth="1"/>
    <col min="28" max="28" width="14.5546875" style="5" customWidth="1"/>
    <col min="29" max="29" width="93.5546875" customWidth="1"/>
  </cols>
  <sheetData>
    <row r="2" spans="2:39" ht="18" x14ac:dyDescent="0.35">
      <c r="B2" s="1" t="s">
        <v>208</v>
      </c>
    </row>
    <row r="3" spans="2:39" ht="32.25" customHeight="1" x14ac:dyDescent="0.25">
      <c r="B3" s="239" t="s">
        <v>209</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row>
    <row r="4" spans="2:39" x14ac:dyDescent="0.25">
      <c r="X4" s="18"/>
      <c r="Y4" s="18"/>
      <c r="Z4" s="18"/>
      <c r="AA4" s="18"/>
    </row>
    <row r="5" spans="2:39" x14ac:dyDescent="0.25">
      <c r="B5" s="148" t="s">
        <v>211</v>
      </c>
      <c r="U5" s="241"/>
      <c r="V5" s="238"/>
      <c r="W5" s="238"/>
      <c r="X5" s="238"/>
      <c r="Y5" s="238"/>
      <c r="Z5" s="238"/>
      <c r="AA5" s="238"/>
      <c r="AB5" s="238"/>
      <c r="AC5" s="18"/>
      <c r="AD5" s="18"/>
      <c r="AE5" s="18"/>
      <c r="AF5" s="18"/>
      <c r="AG5" s="18"/>
      <c r="AH5" s="18"/>
      <c r="AI5" s="18"/>
      <c r="AJ5" s="18"/>
      <c r="AK5" s="18"/>
      <c r="AL5" s="18"/>
      <c r="AM5" s="18"/>
    </row>
    <row r="6" spans="2:39" ht="18" x14ac:dyDescent="0.35">
      <c r="B6" s="1"/>
      <c r="C6" s="242" t="s">
        <v>212</v>
      </c>
      <c r="D6" s="243"/>
      <c r="E6" s="243"/>
      <c r="F6" s="244"/>
      <c r="G6" s="242" t="s">
        <v>213</v>
      </c>
      <c r="H6" s="243"/>
      <c r="I6" s="243"/>
      <c r="J6" s="244"/>
      <c r="K6" s="242" t="s">
        <v>214</v>
      </c>
      <c r="L6" s="243"/>
      <c r="M6" s="243"/>
      <c r="N6" s="244"/>
      <c r="O6" s="242" t="s">
        <v>215</v>
      </c>
      <c r="P6" s="243"/>
      <c r="Q6" s="243"/>
      <c r="R6" s="244"/>
      <c r="S6" s="18"/>
      <c r="T6" s="18"/>
      <c r="U6" s="18"/>
      <c r="V6" s="18"/>
      <c r="W6" s="18"/>
      <c r="X6" s="18"/>
      <c r="Y6" s="18"/>
      <c r="Z6" s="18"/>
      <c r="AA6" s="18"/>
      <c r="AB6" s="18"/>
      <c r="AC6" s="18"/>
      <c r="AD6" s="18"/>
      <c r="AE6" s="18"/>
    </row>
    <row r="7" spans="2:39" ht="43.2" x14ac:dyDescent="0.25">
      <c r="B7" s="2" t="s">
        <v>210</v>
      </c>
      <c r="C7" s="3" t="s">
        <v>150</v>
      </c>
      <c r="D7" s="3" t="s">
        <v>201</v>
      </c>
      <c r="E7" s="6" t="s">
        <v>0</v>
      </c>
      <c r="F7" s="6" t="s">
        <v>216</v>
      </c>
      <c r="G7" s="3" t="s">
        <v>150</v>
      </c>
      <c r="H7" s="3" t="s">
        <v>201</v>
      </c>
      <c r="I7" s="6" t="s">
        <v>0</v>
      </c>
      <c r="J7" s="6" t="s">
        <v>216</v>
      </c>
      <c r="K7" s="3" t="s">
        <v>150</v>
      </c>
      <c r="L7" s="3" t="s">
        <v>201</v>
      </c>
      <c r="M7" s="6" t="s">
        <v>0</v>
      </c>
      <c r="N7" s="6" t="s">
        <v>216</v>
      </c>
      <c r="O7" s="3" t="s">
        <v>150</v>
      </c>
      <c r="P7" s="3" t="s">
        <v>201</v>
      </c>
      <c r="Q7" s="6" t="s">
        <v>0</v>
      </c>
      <c r="R7" s="6" t="s">
        <v>216</v>
      </c>
      <c r="S7" s="3" t="s">
        <v>217</v>
      </c>
      <c r="T7" s="3" t="s">
        <v>218</v>
      </c>
      <c r="U7" s="7"/>
      <c r="V7" s="4"/>
      <c r="W7" s="4"/>
      <c r="X7" s="4"/>
      <c r="Y7" s="4"/>
      <c r="Z7" s="4"/>
      <c r="AA7" s="4"/>
      <c r="AB7" s="4"/>
      <c r="AC7" s="4"/>
    </row>
    <row r="8" spans="2:39" ht="30" customHeight="1" x14ac:dyDescent="0.25">
      <c r="B8" s="67" t="s">
        <v>151</v>
      </c>
      <c r="C8" s="145">
        <v>1851</v>
      </c>
      <c r="D8" s="145">
        <v>154.66</v>
      </c>
      <c r="E8" s="149">
        <f>C8+D8</f>
        <v>2005.66</v>
      </c>
      <c r="F8" s="150">
        <v>0</v>
      </c>
      <c r="G8" s="145">
        <v>1911</v>
      </c>
      <c r="H8" s="145">
        <f>D8+(D8*3%)</f>
        <v>159.2998</v>
      </c>
      <c r="I8" s="149">
        <f>G8+H8</f>
        <v>2070.2997999999998</v>
      </c>
      <c r="J8" s="150">
        <v>0</v>
      </c>
      <c r="K8" s="145">
        <v>1971</v>
      </c>
      <c r="L8" s="145">
        <f>H8+(H8*3%)</f>
        <v>164.07879400000002</v>
      </c>
      <c r="M8" s="149">
        <f>K8+L8</f>
        <v>2135.078794</v>
      </c>
      <c r="N8" s="150">
        <v>0</v>
      </c>
      <c r="O8" s="145">
        <v>2031</v>
      </c>
      <c r="P8" s="145">
        <f>L8+(L8*3%)</f>
        <v>169.00115782</v>
      </c>
      <c r="Q8" s="149">
        <f>O8+P8</f>
        <v>2200.0011578200001</v>
      </c>
      <c r="R8" s="150">
        <v>0</v>
      </c>
      <c r="S8" s="151">
        <v>0</v>
      </c>
      <c r="T8" s="149">
        <f>((E8*F8)+(I8*J8)+(M8*N8)+(Q8+R8))*S8</f>
        <v>0</v>
      </c>
      <c r="U8" s="152" t="s">
        <v>156</v>
      </c>
      <c r="AB8"/>
    </row>
    <row r="9" spans="2:39" ht="40.35" customHeight="1" x14ac:dyDescent="0.25">
      <c r="B9" s="67" t="s">
        <v>152</v>
      </c>
      <c r="C9" s="145">
        <v>1309.6400000000001</v>
      </c>
      <c r="D9" s="145">
        <v>154.66</v>
      </c>
      <c r="E9" s="149">
        <f>SUM(C9:D9)</f>
        <v>1464.3000000000002</v>
      </c>
      <c r="F9" s="150">
        <v>0</v>
      </c>
      <c r="G9" s="145">
        <v>1369.64</v>
      </c>
      <c r="H9" s="145">
        <f>D9+(D9*3%)</f>
        <v>159.2998</v>
      </c>
      <c r="I9" s="149">
        <f>SUM(G9:H9)</f>
        <v>1528.9398000000001</v>
      </c>
      <c r="J9" s="150">
        <v>0</v>
      </c>
      <c r="K9" s="145">
        <v>1429.64</v>
      </c>
      <c r="L9" s="145">
        <f>H9+(H9*3%)</f>
        <v>164.07879400000002</v>
      </c>
      <c r="M9" s="149">
        <f>SUM(K9:L9)</f>
        <v>1593.7187940000001</v>
      </c>
      <c r="N9" s="150">
        <v>0</v>
      </c>
      <c r="O9" s="145">
        <v>1489.64</v>
      </c>
      <c r="P9" s="145">
        <f>L9+(L9*3%)</f>
        <v>169.00115782</v>
      </c>
      <c r="Q9" s="149">
        <f>SUM(O9:P9)</f>
        <v>1658.64115782</v>
      </c>
      <c r="R9" s="150">
        <v>0</v>
      </c>
      <c r="S9" s="151">
        <v>0</v>
      </c>
      <c r="T9" s="149">
        <f t="shared" ref="T9" si="0">((E9*F9)+(I9*J9)+(M9*N9)+(Q9+R9))*S9</f>
        <v>0</v>
      </c>
      <c r="U9" s="245" t="s">
        <v>157</v>
      </c>
      <c r="AB9"/>
    </row>
    <row r="10" spans="2:39" ht="40.35" customHeight="1" x14ac:dyDescent="0.25">
      <c r="B10" s="67" t="s">
        <v>154</v>
      </c>
      <c r="C10" s="145">
        <v>1040.98</v>
      </c>
      <c r="D10" s="145">
        <v>154.66</v>
      </c>
      <c r="E10" s="149">
        <f>SUM(C10:D10)</f>
        <v>1195.6400000000001</v>
      </c>
      <c r="F10" s="150">
        <v>0</v>
      </c>
      <c r="G10" s="145">
        <v>1100.98</v>
      </c>
      <c r="H10" s="145">
        <f>D10+(D10*3%)</f>
        <v>159.2998</v>
      </c>
      <c r="I10" s="149">
        <f>SUM(G10:H10)</f>
        <v>1260.2798</v>
      </c>
      <c r="J10" s="150">
        <v>0</v>
      </c>
      <c r="K10" s="145">
        <v>1160.98</v>
      </c>
      <c r="L10" s="145">
        <f>H10+(H10*3%)</f>
        <v>164.07879400000002</v>
      </c>
      <c r="M10" s="149">
        <f>SUM(K10:L10)</f>
        <v>1325.058794</v>
      </c>
      <c r="N10" s="150">
        <v>0</v>
      </c>
      <c r="O10" s="145">
        <v>1220.98</v>
      </c>
      <c r="P10" s="145">
        <f>L10+(L10*3%)</f>
        <v>169.00115782</v>
      </c>
      <c r="Q10" s="149">
        <f>SUM(O10:P10)</f>
        <v>1389.9811578200001</v>
      </c>
      <c r="R10" s="150">
        <v>0</v>
      </c>
      <c r="S10" s="151">
        <v>0</v>
      </c>
      <c r="T10" s="149">
        <f>((E10*F10)+(I10*J10)+(M10*N10)+(Q10+R10))*S10</f>
        <v>0</v>
      </c>
      <c r="U10" s="208"/>
      <c r="AB10"/>
    </row>
    <row r="11" spans="2:39" ht="30" customHeight="1" thickBot="1" x14ac:dyDescent="0.3">
      <c r="B11" s="153" t="s">
        <v>153</v>
      </c>
      <c r="C11" s="145">
        <v>651.12</v>
      </c>
      <c r="D11" s="145">
        <v>154.66</v>
      </c>
      <c r="E11" s="149">
        <f>SUM(C11:D11)</f>
        <v>805.78</v>
      </c>
      <c r="F11" s="150">
        <v>0</v>
      </c>
      <c r="G11" s="145">
        <v>711.12</v>
      </c>
      <c r="H11" s="145">
        <f>D11+(D11*3%)</f>
        <v>159.2998</v>
      </c>
      <c r="I11" s="149">
        <f>SUM(G11:H11)</f>
        <v>870.41980000000001</v>
      </c>
      <c r="J11" s="150">
        <v>0</v>
      </c>
      <c r="K11" s="145">
        <v>771.12</v>
      </c>
      <c r="L11" s="145">
        <f>H11+(H11*3%)</f>
        <v>164.07879400000002</v>
      </c>
      <c r="M11" s="149">
        <f>SUM(K11:L11)</f>
        <v>935.19879400000002</v>
      </c>
      <c r="N11" s="150">
        <v>0</v>
      </c>
      <c r="O11" s="145">
        <v>831.12</v>
      </c>
      <c r="P11" s="145">
        <f>L11+(L11*3%)</f>
        <v>169.00115782</v>
      </c>
      <c r="Q11" s="149">
        <f>SUM(O11:P11)</f>
        <v>1000.12115782</v>
      </c>
      <c r="R11" s="150">
        <v>0</v>
      </c>
      <c r="S11" s="151">
        <v>0</v>
      </c>
      <c r="T11" s="149">
        <f>((E11*F11)+(I11*J11)+(M11*N11)+(Q11+R11))*S11</f>
        <v>0</v>
      </c>
      <c r="U11" s="152" t="s">
        <v>155</v>
      </c>
      <c r="AB11"/>
    </row>
    <row r="12" spans="2:39" ht="18" customHeight="1" thickTop="1" x14ac:dyDescent="0.25">
      <c r="B12" s="246" t="s">
        <v>219</v>
      </c>
      <c r="C12" s="246"/>
      <c r="D12" s="246"/>
      <c r="M12" s="238"/>
      <c r="N12" s="18"/>
      <c r="Q12" s="238"/>
      <c r="R12" s="18"/>
      <c r="S12" s="247" t="s">
        <v>0</v>
      </c>
      <c r="T12" s="247">
        <f>SUM(T8:T11)</f>
        <v>0</v>
      </c>
      <c r="U12" s="237"/>
      <c r="V12" s="237"/>
      <c r="W12" s="237"/>
      <c r="X12" s="237"/>
      <c r="Y12" s="237"/>
      <c r="Z12" s="237"/>
      <c r="AA12" s="237"/>
      <c r="AB12" s="237"/>
    </row>
    <row r="13" spans="2:39" ht="12" customHeight="1" thickBot="1" x14ac:dyDescent="0.3">
      <c r="B13" s="154"/>
      <c r="M13" s="238"/>
      <c r="N13" s="18"/>
      <c r="Q13" s="238"/>
      <c r="R13" s="18"/>
      <c r="S13" s="248"/>
      <c r="T13" s="248"/>
      <c r="U13" s="208"/>
      <c r="V13" s="208"/>
      <c r="W13" s="208"/>
      <c r="X13" s="208"/>
      <c r="Y13" s="208"/>
      <c r="Z13" s="208"/>
      <c r="AA13" s="208"/>
      <c r="AB13" s="208"/>
    </row>
    <row r="14" spans="2:39" ht="13.8" thickTop="1" x14ac:dyDescent="0.25"/>
    <row r="15" spans="2:39" x14ac:dyDescent="0.25">
      <c r="B15" t="s">
        <v>220</v>
      </c>
    </row>
    <row r="18" spans="6:25" x14ac:dyDescent="0.25">
      <c r="Y18" s="4"/>
    </row>
    <row r="19" spans="6:25" x14ac:dyDescent="0.25">
      <c r="Y19" s="4"/>
    </row>
    <row r="20" spans="6:25" x14ac:dyDescent="0.25">
      <c r="Y20" s="4"/>
    </row>
    <row r="21" spans="6:25" x14ac:dyDescent="0.25">
      <c r="Y21" s="4"/>
    </row>
    <row r="22" spans="6:25" x14ac:dyDescent="0.25">
      <c r="Y22" s="4"/>
    </row>
    <row r="23" spans="6:25" x14ac:dyDescent="0.25">
      <c r="Y23" s="4"/>
    </row>
    <row r="30" spans="6:25" x14ac:dyDescent="0.25">
      <c r="H30" s="238"/>
      <c r="I30" s="238"/>
      <c r="J30" s="238"/>
      <c r="K30" s="238"/>
      <c r="L30" s="238"/>
    </row>
    <row r="31" spans="6:25" x14ac:dyDescent="0.25">
      <c r="G31" s="155"/>
      <c r="H31" s="155"/>
      <c r="I31" s="155"/>
      <c r="J31" s="155"/>
      <c r="K31" s="155"/>
      <c r="L31" s="155"/>
      <c r="O31" s="155"/>
      <c r="P31" s="155"/>
    </row>
    <row r="32" spans="6:25" x14ac:dyDescent="0.25">
      <c r="F32" s="147"/>
      <c r="G32" s="110"/>
      <c r="H32" s="156"/>
      <c r="I32" s="156"/>
      <c r="J32" s="156"/>
      <c r="K32" s="156"/>
      <c r="L32" s="156"/>
      <c r="O32" s="157"/>
      <c r="P32" s="157"/>
    </row>
    <row r="33" spans="6:16" x14ac:dyDescent="0.25">
      <c r="F33" s="147"/>
      <c r="G33" s="158"/>
      <c r="H33" s="156"/>
      <c r="I33" s="156"/>
      <c r="J33" s="156"/>
      <c r="K33" s="156"/>
      <c r="L33" s="156"/>
      <c r="O33" s="157"/>
      <c r="P33" s="157"/>
    </row>
    <row r="34" spans="6:16" x14ac:dyDescent="0.25">
      <c r="F34" s="147"/>
      <c r="G34" s="158"/>
      <c r="H34" s="156"/>
      <c r="I34" s="156"/>
      <c r="J34" s="156"/>
      <c r="K34" s="156"/>
      <c r="L34" s="156"/>
      <c r="O34" s="157"/>
      <c r="P34" s="157"/>
    </row>
    <row r="35" spans="6:16" x14ac:dyDescent="0.25">
      <c r="F35" s="147"/>
      <c r="G35" s="158"/>
      <c r="H35" s="156"/>
      <c r="I35" s="156"/>
      <c r="J35" s="156"/>
      <c r="K35" s="156"/>
      <c r="L35" s="156"/>
      <c r="O35" s="157"/>
      <c r="P35" s="157"/>
    </row>
  </sheetData>
  <mergeCells count="14">
    <mergeCell ref="U12:AB13"/>
    <mergeCell ref="H30:L30"/>
    <mergeCell ref="B3:AB3"/>
    <mergeCell ref="U5:AB5"/>
    <mergeCell ref="C6:F6"/>
    <mergeCell ref="G6:J6"/>
    <mergeCell ref="K6:N6"/>
    <mergeCell ref="O6:R6"/>
    <mergeCell ref="U9:U10"/>
    <mergeCell ref="B12:D12"/>
    <mergeCell ref="M12:M13"/>
    <mergeCell ref="Q12:Q13"/>
    <mergeCell ref="S12:S13"/>
    <mergeCell ref="T12:T13"/>
  </mergeCells>
  <dataValidations count="1">
    <dataValidation type="list" allowBlank="1" showInputMessage="1" showErrorMessage="1" sqref="F8:F11 J8:J11 N8:N11 R8:S11" xr:uid="{F839BFDF-28E5-4350-86E0-964723734317}">
      <formula1>"0,1,2,3,4,5,6,7,8,9,10,11,12"</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0"/>
  <sheetViews>
    <sheetView workbookViewId="0">
      <selection activeCell="B3" sqref="B3"/>
    </sheetView>
  </sheetViews>
  <sheetFormatPr defaultColWidth="9.109375" defaultRowHeight="14.4" x14ac:dyDescent="0.3"/>
  <cols>
    <col min="1" max="1" width="39.109375" style="24" bestFit="1" customWidth="1"/>
    <col min="2" max="2" width="18.109375" style="24" bestFit="1" customWidth="1"/>
    <col min="3" max="3" width="9.109375" style="24"/>
    <col min="4" max="4" width="20.88671875" style="24" bestFit="1" customWidth="1"/>
    <col min="5" max="5" width="2" style="24" bestFit="1" customWidth="1"/>
    <col min="6" max="6" width="7.109375" style="24" bestFit="1" customWidth="1"/>
    <col min="7" max="7" width="10.109375" style="24" bestFit="1" customWidth="1"/>
    <col min="8" max="8" width="16.5546875" style="24" bestFit="1" customWidth="1"/>
    <col min="9" max="9" width="9.109375" style="24"/>
    <col min="10" max="10" width="20.88671875" style="24" bestFit="1" customWidth="1"/>
    <col min="11" max="11" width="2" style="24" bestFit="1" customWidth="1"/>
    <col min="12" max="12" width="7.109375" style="24" bestFit="1" customWidth="1"/>
    <col min="13" max="13" width="10.109375" style="24" bestFit="1" customWidth="1"/>
    <col min="14" max="14" width="18.109375" style="24" bestFit="1" customWidth="1"/>
    <col min="15" max="15" width="9.109375" style="24"/>
    <col min="16" max="16" width="20.88671875" style="24" bestFit="1" customWidth="1"/>
    <col min="17" max="17" width="2" style="24" bestFit="1" customWidth="1"/>
    <col min="18" max="18" width="7.109375" style="24" bestFit="1" customWidth="1"/>
    <col min="19" max="19" width="10.109375" style="24" bestFit="1" customWidth="1"/>
    <col min="20" max="20" width="16.5546875" style="24" bestFit="1" customWidth="1"/>
    <col min="21" max="16384" width="9.109375" style="24"/>
  </cols>
  <sheetData>
    <row r="1" spans="1:20" ht="15.6" x14ac:dyDescent="0.3">
      <c r="A1" s="52" t="s">
        <v>1</v>
      </c>
      <c r="B1" s="51"/>
      <c r="D1" s="250" t="s">
        <v>2</v>
      </c>
      <c r="E1" s="251"/>
      <c r="F1" s="251"/>
      <c r="G1" s="251"/>
      <c r="H1" s="252"/>
      <c r="J1" s="250" t="s">
        <v>2</v>
      </c>
      <c r="K1" s="251"/>
      <c r="L1" s="251"/>
      <c r="M1" s="251"/>
      <c r="N1" s="252"/>
      <c r="P1" s="250" t="s">
        <v>2</v>
      </c>
      <c r="Q1" s="251"/>
      <c r="R1" s="251"/>
      <c r="S1" s="251"/>
      <c r="T1" s="252"/>
    </row>
    <row r="2" spans="1:20" ht="15.6" x14ac:dyDescent="0.3">
      <c r="A2" s="49"/>
      <c r="B2" s="48" t="s">
        <v>3</v>
      </c>
      <c r="D2" s="253" t="s">
        <v>4</v>
      </c>
      <c r="E2" s="254"/>
      <c r="F2" s="254"/>
      <c r="G2" s="254"/>
      <c r="H2" s="255"/>
      <c r="J2" s="253" t="s">
        <v>5</v>
      </c>
      <c r="K2" s="254"/>
      <c r="L2" s="254"/>
      <c r="M2" s="254"/>
      <c r="N2" s="255"/>
      <c r="P2" s="253" t="s">
        <v>6</v>
      </c>
      <c r="Q2" s="254"/>
      <c r="R2" s="254"/>
      <c r="S2" s="254"/>
      <c r="T2" s="255"/>
    </row>
    <row r="3" spans="1:20" s="43" customFormat="1" ht="18" customHeight="1" x14ac:dyDescent="0.3">
      <c r="A3" s="45" t="s">
        <v>7</v>
      </c>
      <c r="B3" s="50">
        <f>'Researcher Contract(DL 57_2016)'!B5</f>
        <v>2351.530502071023</v>
      </c>
      <c r="D3" s="49"/>
      <c r="E3" s="28"/>
      <c r="F3" s="28"/>
      <c r="G3" s="28"/>
      <c r="H3" s="48" t="s">
        <v>8</v>
      </c>
      <c r="J3" s="49"/>
      <c r="K3" s="28"/>
      <c r="L3" s="28"/>
      <c r="M3" s="28"/>
      <c r="N3" s="48" t="s">
        <v>8</v>
      </c>
      <c r="P3" s="49"/>
      <c r="Q3" s="28"/>
      <c r="R3" s="28"/>
      <c r="S3" s="28"/>
      <c r="T3" s="48" t="s">
        <v>8</v>
      </c>
    </row>
    <row r="4" spans="1:20" s="43" customFormat="1" ht="18" customHeight="1" x14ac:dyDescent="0.25">
      <c r="A4" s="45" t="s">
        <v>9</v>
      </c>
      <c r="B4" s="44">
        <f>4.52*22</f>
        <v>99.44</v>
      </c>
      <c r="D4" s="45" t="s">
        <v>10</v>
      </c>
      <c r="E4" s="33">
        <v>1</v>
      </c>
      <c r="F4" s="32"/>
      <c r="G4" s="31"/>
      <c r="H4" s="46">
        <f>B8</f>
        <v>3724.7161906928272</v>
      </c>
      <c r="J4" s="45" t="s">
        <v>10</v>
      </c>
      <c r="K4" s="33">
        <v>1</v>
      </c>
      <c r="L4" s="32"/>
      <c r="M4" s="31"/>
      <c r="N4" s="46">
        <f>B9</f>
        <v>4900.4814417283387</v>
      </c>
      <c r="P4" s="45" t="s">
        <v>10</v>
      </c>
      <c r="Q4" s="33">
        <v>1</v>
      </c>
      <c r="R4" s="32"/>
      <c r="S4" s="31"/>
      <c r="T4" s="46">
        <f>B10</f>
        <v>2548.9509396573158</v>
      </c>
    </row>
    <row r="5" spans="1:20" s="43" customFormat="1" x14ac:dyDescent="0.25">
      <c r="A5" s="45" t="s">
        <v>11</v>
      </c>
      <c r="B5" s="44">
        <f>B3</f>
        <v>2351.530502071023</v>
      </c>
      <c r="D5" s="45" t="s">
        <v>12</v>
      </c>
      <c r="E5" s="33">
        <v>2</v>
      </c>
      <c r="F5" s="32">
        <v>4.0000000000000001E-3</v>
      </c>
      <c r="G5" s="31"/>
      <c r="H5" s="44"/>
      <c r="J5" s="45" t="s">
        <v>12</v>
      </c>
      <c r="K5" s="33">
        <v>2</v>
      </c>
      <c r="L5" s="32">
        <v>4.0000000000000001E-3</v>
      </c>
      <c r="M5" s="31"/>
      <c r="N5" s="44"/>
      <c r="P5" s="45" t="s">
        <v>12</v>
      </c>
      <c r="Q5" s="33">
        <v>2</v>
      </c>
      <c r="R5" s="32">
        <v>4.0000000000000001E-3</v>
      </c>
      <c r="S5" s="31"/>
      <c r="T5" s="44"/>
    </row>
    <row r="6" spans="1:20" s="43" customFormat="1" x14ac:dyDescent="0.25">
      <c r="A6" s="45" t="s">
        <v>13</v>
      </c>
      <c r="B6" s="44">
        <f>B3/24</f>
        <v>97.980437586292624</v>
      </c>
      <c r="D6" s="45" t="s">
        <v>14</v>
      </c>
      <c r="E6" s="33">
        <v>3</v>
      </c>
      <c r="F6" s="32"/>
      <c r="G6" s="31" t="s">
        <v>15</v>
      </c>
      <c r="H6" s="44">
        <f>H4*F5</f>
        <v>14.898864762771309</v>
      </c>
      <c r="J6" s="45" t="s">
        <v>14</v>
      </c>
      <c r="K6" s="33">
        <v>3</v>
      </c>
      <c r="L6" s="32"/>
      <c r="M6" s="31" t="s">
        <v>15</v>
      </c>
      <c r="N6" s="44">
        <f>N4*L5</f>
        <v>19.601925766913354</v>
      </c>
      <c r="P6" s="45" t="s">
        <v>14</v>
      </c>
      <c r="Q6" s="33">
        <v>3</v>
      </c>
      <c r="R6" s="32"/>
      <c r="S6" s="31" t="s">
        <v>15</v>
      </c>
      <c r="T6" s="44">
        <f>T4*R5</f>
        <v>10.195803758629264</v>
      </c>
    </row>
    <row r="7" spans="1:20" s="43" customFormat="1" x14ac:dyDescent="0.25">
      <c r="A7" s="45" t="s">
        <v>16</v>
      </c>
      <c r="B7" s="44">
        <f>B3/2</f>
        <v>1175.7652510355115</v>
      </c>
      <c r="D7" s="45" t="s">
        <v>17</v>
      </c>
      <c r="E7" s="33">
        <v>4</v>
      </c>
      <c r="F7" s="32">
        <v>0.05</v>
      </c>
      <c r="G7" s="31" t="s">
        <v>18</v>
      </c>
      <c r="H7" s="44">
        <f>H6*F7</f>
        <v>0.74494323813856544</v>
      </c>
      <c r="J7" s="45" t="s">
        <v>17</v>
      </c>
      <c r="K7" s="33">
        <v>4</v>
      </c>
      <c r="L7" s="32">
        <v>0.05</v>
      </c>
      <c r="M7" s="31" t="s">
        <v>18</v>
      </c>
      <c r="N7" s="44">
        <f>N6*L7</f>
        <v>0.98009628834566775</v>
      </c>
      <c r="P7" s="45" t="s">
        <v>17</v>
      </c>
      <c r="Q7" s="33">
        <v>4</v>
      </c>
      <c r="R7" s="32">
        <v>0.05</v>
      </c>
      <c r="S7" s="31" t="s">
        <v>18</v>
      </c>
      <c r="T7" s="44">
        <f>T6*R7</f>
        <v>0.50979018793146325</v>
      </c>
    </row>
    <row r="8" spans="1:20" s="43" customFormat="1" ht="18" customHeight="1" x14ac:dyDescent="0.25">
      <c r="A8" s="47" t="s">
        <v>19</v>
      </c>
      <c r="B8" s="46">
        <f>SUM(B3,B4,B6,B7)</f>
        <v>3724.7161906928272</v>
      </c>
      <c r="D8" s="45" t="s">
        <v>20</v>
      </c>
      <c r="E8" s="33">
        <v>5</v>
      </c>
      <c r="F8" s="32">
        <v>2.5000000000000001E-2</v>
      </c>
      <c r="G8" s="31" t="s">
        <v>21</v>
      </c>
      <c r="H8" s="44">
        <f>H6*F8</f>
        <v>0.37247161906928272</v>
      </c>
      <c r="J8" s="45" t="s">
        <v>20</v>
      </c>
      <c r="K8" s="33">
        <v>5</v>
      </c>
      <c r="L8" s="32">
        <v>2.5000000000000001E-2</v>
      </c>
      <c r="M8" s="31" t="s">
        <v>21</v>
      </c>
      <c r="N8" s="44">
        <f>N6*L8</f>
        <v>0.49004814417283388</v>
      </c>
      <c r="P8" s="45" t="s">
        <v>20</v>
      </c>
      <c r="Q8" s="33">
        <v>5</v>
      </c>
      <c r="R8" s="32">
        <v>2.5000000000000001E-2</v>
      </c>
      <c r="S8" s="31" t="s">
        <v>21</v>
      </c>
      <c r="T8" s="44">
        <f>T6*R8</f>
        <v>0.25489509396573162</v>
      </c>
    </row>
    <row r="9" spans="1:20" s="43" customFormat="1" ht="18" customHeight="1" x14ac:dyDescent="0.25">
      <c r="A9" s="47" t="s">
        <v>22</v>
      </c>
      <c r="B9" s="46">
        <f>SUM(B3:B6)</f>
        <v>4900.4814417283387</v>
      </c>
      <c r="D9" s="45" t="s">
        <v>23</v>
      </c>
      <c r="E9" s="33">
        <v>6</v>
      </c>
      <c r="F9" s="32">
        <v>1.5E-3</v>
      </c>
      <c r="G9" s="31" t="s">
        <v>24</v>
      </c>
      <c r="H9" s="44">
        <f>H4*F9</f>
        <v>5.5870742860392406</v>
      </c>
      <c r="J9" s="45" t="s">
        <v>23</v>
      </c>
      <c r="K9" s="33">
        <v>6</v>
      </c>
      <c r="L9" s="32">
        <v>1.5E-3</v>
      </c>
      <c r="M9" s="31" t="s">
        <v>24</v>
      </c>
      <c r="N9" s="44">
        <f>N4*L9</f>
        <v>7.3507221625925085</v>
      </c>
      <c r="P9" s="45" t="s">
        <v>23</v>
      </c>
      <c r="Q9" s="33">
        <v>6</v>
      </c>
      <c r="R9" s="32">
        <v>1.5E-3</v>
      </c>
      <c r="S9" s="31" t="s">
        <v>24</v>
      </c>
      <c r="T9" s="44">
        <f>T4*R9</f>
        <v>3.8234264094859736</v>
      </c>
    </row>
    <row r="10" spans="1:20" s="29" customFormat="1" ht="18" x14ac:dyDescent="0.2">
      <c r="A10" s="41" t="s">
        <v>25</v>
      </c>
      <c r="B10" s="42">
        <f>B3+B4+B6</f>
        <v>2548.9509396573158</v>
      </c>
      <c r="D10" s="41" t="s">
        <v>26</v>
      </c>
      <c r="E10" s="40">
        <v>7</v>
      </c>
      <c r="F10" s="39"/>
      <c r="G10" s="38" t="s">
        <v>27</v>
      </c>
      <c r="H10" s="37">
        <f>SUM(H6:H9)</f>
        <v>21.603353906018398</v>
      </c>
      <c r="J10" s="41" t="s">
        <v>26</v>
      </c>
      <c r="K10" s="40">
        <v>7</v>
      </c>
      <c r="L10" s="39"/>
      <c r="M10" s="38" t="s">
        <v>27</v>
      </c>
      <c r="N10" s="37">
        <f>SUM(N6:N9)</f>
        <v>28.422792362024364</v>
      </c>
      <c r="P10" s="41" t="s">
        <v>28</v>
      </c>
      <c r="Q10" s="40">
        <v>7</v>
      </c>
      <c r="R10" s="39"/>
      <c r="S10" s="38" t="s">
        <v>27</v>
      </c>
      <c r="T10" s="37">
        <f>SUM(T6:T9)*11</f>
        <v>162.62306995013677</v>
      </c>
    </row>
    <row r="11" spans="1:20" s="29" customFormat="1" ht="18" x14ac:dyDescent="0.2">
      <c r="J11" s="36"/>
      <c r="K11" s="35"/>
      <c r="P11" s="34"/>
      <c r="Q11" s="33"/>
      <c r="R11" s="32"/>
      <c r="S11" s="31"/>
      <c r="T11" s="30"/>
    </row>
    <row r="12" spans="1:20" x14ac:dyDescent="0.3">
      <c r="A12" s="29"/>
      <c r="B12" s="29"/>
      <c r="J12" s="28"/>
      <c r="K12" s="28"/>
      <c r="P12" s="249"/>
      <c r="Q12" s="249"/>
      <c r="R12" s="249"/>
      <c r="S12" s="249"/>
      <c r="T12" s="249"/>
    </row>
    <row r="13" spans="1:20" x14ac:dyDescent="0.3">
      <c r="T13" s="25"/>
    </row>
    <row r="14" spans="1:20" ht="21" x14ac:dyDescent="0.3">
      <c r="A14" s="27" t="s">
        <v>29</v>
      </c>
      <c r="B14" s="26">
        <f>T10+N10+H10</f>
        <v>212.6492162181795</v>
      </c>
    </row>
    <row r="16" spans="1:20" x14ac:dyDescent="0.3">
      <c r="B16" s="25"/>
    </row>
    <row r="20" spans="1:1" x14ac:dyDescent="0.3">
      <c r="A20" s="23" t="s">
        <v>30</v>
      </c>
    </row>
  </sheetData>
  <mergeCells count="7">
    <mergeCell ref="P12:T12"/>
    <mergeCell ref="D1:H1"/>
    <mergeCell ref="J1:N1"/>
    <mergeCell ref="P1:T1"/>
    <mergeCell ref="D2:H2"/>
    <mergeCell ref="J2:N2"/>
    <mergeCell ref="P2:T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05DB8-8772-4786-BFF6-B9DD40494656}">
  <dimension ref="A1:T20"/>
  <sheetViews>
    <sheetView workbookViewId="0">
      <selection activeCell="H23" sqref="H23"/>
    </sheetView>
  </sheetViews>
  <sheetFormatPr defaultColWidth="9.44140625" defaultRowHeight="14.4" x14ac:dyDescent="0.3"/>
  <cols>
    <col min="1" max="1" width="39.44140625" style="97" bestFit="1" customWidth="1"/>
    <col min="2" max="2" width="18.44140625" style="97" bestFit="1" customWidth="1"/>
    <col min="3" max="3" width="9.44140625" style="97"/>
    <col min="4" max="4" width="20.5546875" style="97" bestFit="1" customWidth="1"/>
    <col min="5" max="5" width="2" style="97" bestFit="1" customWidth="1"/>
    <col min="6" max="6" width="7.44140625" style="97" bestFit="1" customWidth="1"/>
    <col min="7" max="7" width="10.44140625" style="97" bestFit="1" customWidth="1"/>
    <col min="8" max="8" width="16.5546875" style="97" bestFit="1" customWidth="1"/>
    <col min="9" max="9" width="9.44140625" style="97"/>
    <col min="10" max="10" width="20.5546875" style="97" bestFit="1" customWidth="1"/>
    <col min="11" max="11" width="2" style="97" bestFit="1" customWidth="1"/>
    <col min="12" max="12" width="7.44140625" style="97" bestFit="1" customWidth="1"/>
    <col min="13" max="13" width="10.44140625" style="97" bestFit="1" customWidth="1"/>
    <col min="14" max="14" width="18.44140625" style="97" bestFit="1" customWidth="1"/>
    <col min="15" max="15" width="9.44140625" style="97"/>
    <col min="16" max="16" width="20.5546875" style="97" bestFit="1" customWidth="1"/>
    <col min="17" max="17" width="2" style="97" bestFit="1" customWidth="1"/>
    <col min="18" max="18" width="7.44140625" style="97" bestFit="1" customWidth="1"/>
    <col min="19" max="19" width="10.44140625" style="97" bestFit="1" customWidth="1"/>
    <col min="20" max="20" width="16.5546875" style="97" bestFit="1" customWidth="1"/>
    <col min="21" max="16384" width="9.44140625" style="97"/>
  </cols>
  <sheetData>
    <row r="1" spans="1:20" ht="15.6" x14ac:dyDescent="0.3">
      <c r="A1" s="168" t="s">
        <v>1</v>
      </c>
      <c r="B1" s="169"/>
      <c r="D1" s="257" t="s">
        <v>2</v>
      </c>
      <c r="E1" s="258"/>
      <c r="F1" s="258"/>
      <c r="G1" s="258"/>
      <c r="H1" s="259"/>
      <c r="J1" s="257" t="s">
        <v>2</v>
      </c>
      <c r="K1" s="258"/>
      <c r="L1" s="258"/>
      <c r="M1" s="258"/>
      <c r="N1" s="259"/>
      <c r="P1" s="257" t="s">
        <v>2</v>
      </c>
      <c r="Q1" s="258"/>
      <c r="R1" s="258"/>
      <c r="S1" s="258"/>
      <c r="T1" s="259"/>
    </row>
    <row r="2" spans="1:20" ht="15.6" x14ac:dyDescent="0.3">
      <c r="A2" s="170"/>
      <c r="B2" s="171" t="s">
        <v>3</v>
      </c>
      <c r="D2" s="260" t="s">
        <v>4</v>
      </c>
      <c r="E2" s="261"/>
      <c r="F2" s="261"/>
      <c r="G2" s="261"/>
      <c r="H2" s="262"/>
      <c r="J2" s="260" t="s">
        <v>5</v>
      </c>
      <c r="K2" s="261"/>
      <c r="L2" s="261"/>
      <c r="M2" s="261"/>
      <c r="N2" s="262"/>
      <c r="P2" s="260" t="s">
        <v>6</v>
      </c>
      <c r="Q2" s="261"/>
      <c r="R2" s="261"/>
      <c r="S2" s="261"/>
      <c r="T2" s="262"/>
    </row>
    <row r="3" spans="1:20" s="173" customFormat="1" ht="18" x14ac:dyDescent="0.3">
      <c r="A3" s="172" t="s">
        <v>7</v>
      </c>
      <c r="B3" s="50">
        <f>'[1]Contrato Doutorado (DL 57_2016)'!B6</f>
        <v>2351.530502071023</v>
      </c>
      <c r="D3" s="170"/>
      <c r="E3" s="97"/>
      <c r="F3" s="97"/>
      <c r="G3" s="97"/>
      <c r="H3" s="171" t="s">
        <v>8</v>
      </c>
      <c r="J3" s="170"/>
      <c r="K3" s="97"/>
      <c r="L3" s="97"/>
      <c r="M3" s="97"/>
      <c r="N3" s="171" t="s">
        <v>8</v>
      </c>
      <c r="P3" s="170"/>
      <c r="Q3" s="97"/>
      <c r="R3" s="97"/>
      <c r="S3" s="97"/>
      <c r="T3" s="171" t="s">
        <v>8</v>
      </c>
    </row>
    <row r="4" spans="1:20" s="173" customFormat="1" ht="18" x14ac:dyDescent="0.25">
      <c r="A4" s="172" t="s">
        <v>9</v>
      </c>
      <c r="B4" s="174">
        <f>6*22</f>
        <v>132</v>
      </c>
      <c r="D4" s="172" t="s">
        <v>10</v>
      </c>
      <c r="E4" s="173">
        <v>1</v>
      </c>
      <c r="F4" s="175"/>
      <c r="G4" s="176"/>
      <c r="H4" s="177">
        <f>B8</f>
        <v>3757.2761906928272</v>
      </c>
      <c r="J4" s="172" t="s">
        <v>10</v>
      </c>
      <c r="K4" s="173">
        <v>1</v>
      </c>
      <c r="L4" s="175"/>
      <c r="M4" s="176"/>
      <c r="N4" s="177">
        <f>B9</f>
        <v>4933.0414417283382</v>
      </c>
      <c r="P4" s="172" t="s">
        <v>10</v>
      </c>
      <c r="Q4" s="173">
        <v>1</v>
      </c>
      <c r="R4" s="175"/>
      <c r="S4" s="176"/>
      <c r="T4" s="177">
        <f>B10</f>
        <v>2581.5109396573157</v>
      </c>
    </row>
    <row r="5" spans="1:20" s="173" customFormat="1" x14ac:dyDescent="0.25">
      <c r="A5" s="172" t="s">
        <v>11</v>
      </c>
      <c r="B5" s="174">
        <f>B3</f>
        <v>2351.530502071023</v>
      </c>
      <c r="D5" s="172" t="s">
        <v>12</v>
      </c>
      <c r="E5" s="173">
        <v>2</v>
      </c>
      <c r="F5" s="175">
        <v>4.0000000000000001E-3</v>
      </c>
      <c r="G5" s="176"/>
      <c r="H5" s="174"/>
      <c r="J5" s="172" t="s">
        <v>12</v>
      </c>
      <c r="K5" s="173">
        <v>2</v>
      </c>
      <c r="L5" s="175">
        <v>4.0000000000000001E-3</v>
      </c>
      <c r="M5" s="176"/>
      <c r="N5" s="174"/>
      <c r="P5" s="172" t="s">
        <v>12</v>
      </c>
      <c r="Q5" s="173">
        <v>2</v>
      </c>
      <c r="R5" s="175">
        <v>4.0000000000000001E-3</v>
      </c>
      <c r="S5" s="176"/>
      <c r="T5" s="174"/>
    </row>
    <row r="6" spans="1:20" s="173" customFormat="1" x14ac:dyDescent="0.25">
      <c r="A6" s="172" t="s">
        <v>13</v>
      </c>
      <c r="B6" s="174">
        <f>B3/24</f>
        <v>97.980437586292624</v>
      </c>
      <c r="D6" s="172" t="s">
        <v>14</v>
      </c>
      <c r="E6" s="173">
        <v>3</v>
      </c>
      <c r="F6" s="175"/>
      <c r="G6" s="176" t="s">
        <v>15</v>
      </c>
      <c r="H6" s="174">
        <f>H4*F5</f>
        <v>15.029104762771309</v>
      </c>
      <c r="J6" s="172" t="s">
        <v>14</v>
      </c>
      <c r="K6" s="173">
        <v>3</v>
      </c>
      <c r="L6" s="175"/>
      <c r="M6" s="176" t="s">
        <v>15</v>
      </c>
      <c r="N6" s="174">
        <f>N4*L5</f>
        <v>19.732165766913354</v>
      </c>
      <c r="P6" s="172" t="s">
        <v>14</v>
      </c>
      <c r="Q6" s="173">
        <v>3</v>
      </c>
      <c r="R6" s="175"/>
      <c r="S6" s="176" t="s">
        <v>15</v>
      </c>
      <c r="T6" s="174">
        <f>T4*R5</f>
        <v>10.326043758629263</v>
      </c>
    </row>
    <row r="7" spans="1:20" s="173" customFormat="1" x14ac:dyDescent="0.25">
      <c r="A7" s="172" t="s">
        <v>16</v>
      </c>
      <c r="B7" s="174">
        <f>B3/2</f>
        <v>1175.7652510355115</v>
      </c>
      <c r="D7" s="172" t="s">
        <v>17</v>
      </c>
      <c r="E7" s="173">
        <v>4</v>
      </c>
      <c r="F7" s="175">
        <v>0.05</v>
      </c>
      <c r="G7" s="176" t="s">
        <v>18</v>
      </c>
      <c r="H7" s="174">
        <f>H6*F7</f>
        <v>0.75145523813856552</v>
      </c>
      <c r="J7" s="172" t="s">
        <v>17</v>
      </c>
      <c r="K7" s="173">
        <v>4</v>
      </c>
      <c r="L7" s="175">
        <v>0.05</v>
      </c>
      <c r="M7" s="176" t="s">
        <v>18</v>
      </c>
      <c r="N7" s="174">
        <f>N6*L7</f>
        <v>0.98660828834566772</v>
      </c>
      <c r="P7" s="172" t="s">
        <v>17</v>
      </c>
      <c r="Q7" s="173">
        <v>4</v>
      </c>
      <c r="R7" s="175">
        <v>0.05</v>
      </c>
      <c r="S7" s="176" t="s">
        <v>18</v>
      </c>
      <c r="T7" s="174">
        <f>T6*R7</f>
        <v>0.51630218793146321</v>
      </c>
    </row>
    <row r="8" spans="1:20" s="173" customFormat="1" ht="18" x14ac:dyDescent="0.25">
      <c r="A8" s="178" t="s">
        <v>19</v>
      </c>
      <c r="B8" s="177">
        <f>SUM(B3,B4,B6,B7)</f>
        <v>3757.2761906928272</v>
      </c>
      <c r="D8" s="172" t="s">
        <v>20</v>
      </c>
      <c r="E8" s="173">
        <v>5</v>
      </c>
      <c r="F8" s="175">
        <v>2.5000000000000001E-2</v>
      </c>
      <c r="G8" s="176" t="s">
        <v>21</v>
      </c>
      <c r="H8" s="174">
        <f>H6*F8</f>
        <v>0.37572761906928276</v>
      </c>
      <c r="J8" s="172" t="s">
        <v>20</v>
      </c>
      <c r="K8" s="173">
        <v>5</v>
      </c>
      <c r="L8" s="175">
        <v>2.5000000000000001E-2</v>
      </c>
      <c r="M8" s="176" t="s">
        <v>21</v>
      </c>
      <c r="N8" s="174">
        <f>N6*L8</f>
        <v>0.49330414417283386</v>
      </c>
      <c r="P8" s="172" t="s">
        <v>20</v>
      </c>
      <c r="Q8" s="173">
        <v>5</v>
      </c>
      <c r="R8" s="175">
        <v>2.5000000000000001E-2</v>
      </c>
      <c r="S8" s="176" t="s">
        <v>21</v>
      </c>
      <c r="T8" s="174">
        <f>T6*R8</f>
        <v>0.2581510939657316</v>
      </c>
    </row>
    <row r="9" spans="1:20" s="173" customFormat="1" ht="18" x14ac:dyDescent="0.25">
      <c r="A9" s="178" t="s">
        <v>22</v>
      </c>
      <c r="B9" s="177">
        <f>SUM(B3:B6)</f>
        <v>4933.0414417283382</v>
      </c>
      <c r="D9" s="172" t="s">
        <v>23</v>
      </c>
      <c r="E9" s="173">
        <v>6</v>
      </c>
      <c r="F9" s="175">
        <v>1.5E-3</v>
      </c>
      <c r="G9" s="176" t="s">
        <v>24</v>
      </c>
      <c r="H9" s="174">
        <f>H4*F9</f>
        <v>5.6359142860392408</v>
      </c>
      <c r="J9" s="172" t="s">
        <v>23</v>
      </c>
      <c r="K9" s="173">
        <v>6</v>
      </c>
      <c r="L9" s="175">
        <v>1.5E-3</v>
      </c>
      <c r="M9" s="176" t="s">
        <v>24</v>
      </c>
      <c r="N9" s="174">
        <f>N4*L9</f>
        <v>7.3995621625925079</v>
      </c>
      <c r="P9" s="172" t="s">
        <v>23</v>
      </c>
      <c r="Q9" s="173">
        <v>6</v>
      </c>
      <c r="R9" s="175">
        <v>1.5E-3</v>
      </c>
      <c r="S9" s="176" t="s">
        <v>24</v>
      </c>
      <c r="T9" s="174">
        <f>T4*R9</f>
        <v>3.8722664094859738</v>
      </c>
    </row>
    <row r="10" spans="1:20" s="181" customFormat="1" ht="18" x14ac:dyDescent="0.2">
      <c r="A10" s="179" t="s">
        <v>25</v>
      </c>
      <c r="B10" s="180">
        <f>B3+B4+B6</f>
        <v>2581.5109396573157</v>
      </c>
      <c r="D10" s="179" t="s">
        <v>26</v>
      </c>
      <c r="E10" s="182">
        <v>7</v>
      </c>
      <c r="F10" s="183"/>
      <c r="G10" s="184" t="s">
        <v>27</v>
      </c>
      <c r="H10" s="185">
        <f>SUM(H6:H9)</f>
        <v>21.792201906018398</v>
      </c>
      <c r="J10" s="179" t="s">
        <v>26</v>
      </c>
      <c r="K10" s="182">
        <v>7</v>
      </c>
      <c r="L10" s="183"/>
      <c r="M10" s="184" t="s">
        <v>27</v>
      </c>
      <c r="N10" s="185">
        <f>SUM(N6:N9)</f>
        <v>28.611640362024367</v>
      </c>
      <c r="P10" s="179" t="s">
        <v>28</v>
      </c>
      <c r="Q10" s="182">
        <v>7</v>
      </c>
      <c r="R10" s="183"/>
      <c r="S10" s="184" t="s">
        <v>27</v>
      </c>
      <c r="T10" s="185">
        <f>SUM(T6:T9)*11</f>
        <v>164.70039795013673</v>
      </c>
    </row>
    <row r="11" spans="1:20" s="181" customFormat="1" ht="18" x14ac:dyDescent="0.2">
      <c r="J11" s="186"/>
      <c r="K11" s="187"/>
      <c r="P11" s="188"/>
      <c r="Q11" s="173"/>
      <c r="R11" s="175"/>
      <c r="S11" s="176"/>
      <c r="T11" s="189"/>
    </row>
    <row r="12" spans="1:20" x14ac:dyDescent="0.3">
      <c r="A12" s="181"/>
      <c r="B12" s="181"/>
      <c r="P12" s="256"/>
      <c r="Q12" s="256"/>
      <c r="R12" s="256"/>
      <c r="S12" s="256"/>
      <c r="T12" s="256"/>
    </row>
    <row r="13" spans="1:20" x14ac:dyDescent="0.3">
      <c r="T13" s="190"/>
    </row>
    <row r="14" spans="1:20" ht="21" x14ac:dyDescent="0.3">
      <c r="A14" s="191" t="s">
        <v>29</v>
      </c>
      <c r="B14" s="192">
        <f>T10+N10+H10</f>
        <v>215.10424021817948</v>
      </c>
    </row>
    <row r="16" spans="1:20" x14ac:dyDescent="0.3">
      <c r="B16" s="190"/>
    </row>
    <row r="20" spans="1:1" x14ac:dyDescent="0.3">
      <c r="A20" s="23" t="s">
        <v>30</v>
      </c>
    </row>
  </sheetData>
  <mergeCells count="7">
    <mergeCell ref="P12:T12"/>
    <mergeCell ref="D1:H1"/>
    <mergeCell ref="J1:N1"/>
    <mergeCell ref="P1:T1"/>
    <mergeCell ref="D2:H2"/>
    <mergeCell ref="J2:N2"/>
    <mergeCell ref="P2:T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L54"/>
  <sheetViews>
    <sheetView workbookViewId="0">
      <selection activeCell="L9" sqref="L9"/>
    </sheetView>
  </sheetViews>
  <sheetFormatPr defaultColWidth="8.5546875" defaultRowHeight="13.2" x14ac:dyDescent="0.25"/>
  <cols>
    <col min="1" max="1" width="51.44140625" bestFit="1" customWidth="1"/>
    <col min="2" max="2" width="16.44140625" customWidth="1"/>
    <col min="4" max="4" width="8.5546875" customWidth="1"/>
    <col min="5" max="6" width="9.5546875" customWidth="1"/>
    <col min="7" max="7" width="9.5546875" style="148" customWidth="1"/>
    <col min="12" max="12" width="21.44140625" customWidth="1"/>
  </cols>
  <sheetData>
    <row r="2" spans="1:12" ht="21" x14ac:dyDescent="0.25">
      <c r="A2" s="13" t="s">
        <v>221</v>
      </c>
      <c r="B2" s="13"/>
      <c r="H2" s="159"/>
      <c r="J2" s="159"/>
    </row>
    <row r="3" spans="1:12" ht="28.8" x14ac:dyDescent="0.25">
      <c r="A3" s="160" t="s">
        <v>31</v>
      </c>
      <c r="B3" s="263" t="s">
        <v>95</v>
      </c>
      <c r="C3" s="263"/>
      <c r="D3" s="161" t="s">
        <v>222</v>
      </c>
      <c r="E3" s="161" t="s">
        <v>223</v>
      </c>
      <c r="F3" s="161" t="s">
        <v>224</v>
      </c>
      <c r="G3" s="162" t="s">
        <v>225</v>
      </c>
      <c r="H3" s="163" t="s">
        <v>0</v>
      </c>
      <c r="I3" s="164" t="s">
        <v>96</v>
      </c>
    </row>
    <row r="4" spans="1:12" ht="14.4" x14ac:dyDescent="0.3">
      <c r="A4" s="14" t="s">
        <v>40</v>
      </c>
      <c r="B4" s="165">
        <v>1</v>
      </c>
      <c r="C4" s="5">
        <v>2128.34</v>
      </c>
      <c r="D4" s="5">
        <f>C4+(C4*0.003)</f>
        <v>2134.7250200000003</v>
      </c>
      <c r="E4" s="5">
        <f>2228.11</f>
        <v>2228.11</v>
      </c>
      <c r="F4" s="5">
        <v>2294.9533000000001</v>
      </c>
      <c r="G4" s="166">
        <v>2351.530502071023</v>
      </c>
      <c r="H4" s="119">
        <f>G4</f>
        <v>2351.530502071023</v>
      </c>
      <c r="I4">
        <v>33</v>
      </c>
      <c r="K4" s="264" t="s">
        <v>32</v>
      </c>
      <c r="L4" s="264"/>
    </row>
    <row r="5" spans="1:12" ht="14.4" x14ac:dyDescent="0.3">
      <c r="A5" s="14" t="s">
        <v>41</v>
      </c>
      <c r="B5" s="165">
        <v>1</v>
      </c>
      <c r="C5" s="5">
        <v>2179.83</v>
      </c>
      <c r="D5" s="5">
        <f t="shared" ref="D5:D53" si="0">C5+(C5*0.003)</f>
        <v>2186.36949</v>
      </c>
      <c r="E5" s="5">
        <f>2280.73+$J$2</f>
        <v>2280.73</v>
      </c>
      <c r="F5" s="5">
        <v>2349.1518999999998</v>
      </c>
      <c r="G5" s="166">
        <v>2405.7397758912921</v>
      </c>
      <c r="H5" s="119">
        <f t="shared" ref="H5:H53" si="1">G5</f>
        <v>2405.7397758912921</v>
      </c>
      <c r="I5">
        <v>34</v>
      </c>
      <c r="K5" s="15" t="s">
        <v>33</v>
      </c>
      <c r="L5" t="s">
        <v>98</v>
      </c>
    </row>
    <row r="6" spans="1:12" ht="14.4" x14ac:dyDescent="0.3">
      <c r="A6" s="14" t="s">
        <v>42</v>
      </c>
      <c r="B6" s="165">
        <v>1</v>
      </c>
      <c r="C6" s="5">
        <v>2231.3200000000002</v>
      </c>
      <c r="D6" s="5">
        <f t="shared" si="0"/>
        <v>2238.0139600000002</v>
      </c>
      <c r="E6" s="5">
        <f>2333.37+3%</f>
        <v>2333.4</v>
      </c>
      <c r="F6" s="5">
        <v>2403.402</v>
      </c>
      <c r="G6" s="166">
        <v>2459.9490497115612</v>
      </c>
      <c r="H6" s="119">
        <f t="shared" si="1"/>
        <v>2459.9490497115612</v>
      </c>
      <c r="I6">
        <v>35</v>
      </c>
      <c r="K6" s="15" t="s">
        <v>34</v>
      </c>
      <c r="L6" t="s">
        <v>35</v>
      </c>
    </row>
    <row r="7" spans="1:12" ht="14.4" x14ac:dyDescent="0.3">
      <c r="A7" s="14" t="s">
        <v>43</v>
      </c>
      <c r="B7" s="165">
        <v>1</v>
      </c>
      <c r="C7" s="5">
        <v>2282.81</v>
      </c>
      <c r="D7" s="5">
        <f t="shared" si="0"/>
        <v>2289.65843</v>
      </c>
      <c r="E7" s="5">
        <f>2385.99+J2</f>
        <v>2385.9899999999998</v>
      </c>
      <c r="F7" s="5">
        <v>2457.5696999999996</v>
      </c>
      <c r="G7" s="166">
        <v>2514.1583235318303</v>
      </c>
      <c r="H7" s="119">
        <f t="shared" si="1"/>
        <v>2514.1583235318303</v>
      </c>
      <c r="I7">
        <v>36</v>
      </c>
      <c r="K7" s="15" t="s">
        <v>36</v>
      </c>
      <c r="L7" t="s">
        <v>37</v>
      </c>
    </row>
    <row r="8" spans="1:12" ht="14.4" x14ac:dyDescent="0.3">
      <c r="A8" s="14" t="s">
        <v>44</v>
      </c>
      <c r="B8" s="165" t="s">
        <v>97</v>
      </c>
      <c r="C8" s="5">
        <v>2334.3000000000002</v>
      </c>
      <c r="D8" s="5">
        <f t="shared" si="0"/>
        <v>2341.3029000000001</v>
      </c>
      <c r="E8" s="5">
        <f>2438.65+J2</f>
        <v>2438.65</v>
      </c>
      <c r="F8" s="5">
        <v>2511.8095000000003</v>
      </c>
      <c r="G8" s="166">
        <v>2568.3781254689802</v>
      </c>
      <c r="H8" s="119">
        <f t="shared" si="1"/>
        <v>2568.3781254689802</v>
      </c>
      <c r="I8">
        <v>37</v>
      </c>
      <c r="K8" s="15" t="s">
        <v>38</v>
      </c>
      <c r="L8" t="s">
        <v>39</v>
      </c>
    </row>
    <row r="9" spans="1:12" ht="13.8" x14ac:dyDescent="0.25">
      <c r="A9" s="14" t="s">
        <v>45</v>
      </c>
      <c r="B9" s="165" t="s">
        <v>97</v>
      </c>
      <c r="C9" s="5">
        <v>2385.8000000000002</v>
      </c>
      <c r="D9" s="5">
        <f t="shared" si="0"/>
        <v>2392.9574000000002</v>
      </c>
      <c r="E9" s="5">
        <f>2491.27+J2</f>
        <v>2491.27</v>
      </c>
      <c r="F9" s="5">
        <v>2566.0081</v>
      </c>
      <c r="G9" s="166">
        <v>2622.5873992892489</v>
      </c>
      <c r="H9" s="119">
        <f t="shared" si="1"/>
        <v>2622.5873992892489</v>
      </c>
      <c r="I9">
        <v>38</v>
      </c>
    </row>
    <row r="10" spans="1:12" ht="13.8" x14ac:dyDescent="0.25">
      <c r="A10" s="14" t="s">
        <v>46</v>
      </c>
      <c r="B10" s="165" t="s">
        <v>97</v>
      </c>
      <c r="C10" s="5">
        <v>2437.29</v>
      </c>
      <c r="D10" s="5">
        <f t="shared" si="0"/>
        <v>2444.60187</v>
      </c>
      <c r="E10" s="5">
        <f>2543.91+J2</f>
        <v>2543.91</v>
      </c>
      <c r="F10" s="5">
        <v>2620.2273</v>
      </c>
      <c r="G10" s="166">
        <v>2676.796673109518</v>
      </c>
      <c r="H10" s="119">
        <f t="shared" si="1"/>
        <v>2676.796673109518</v>
      </c>
      <c r="I10">
        <v>39</v>
      </c>
    </row>
    <row r="11" spans="1:12" ht="13.8" x14ac:dyDescent="0.25">
      <c r="A11" s="14" t="s">
        <v>47</v>
      </c>
      <c r="B11" s="165" t="s">
        <v>97</v>
      </c>
      <c r="C11" s="5">
        <v>2488.7800000000002</v>
      </c>
      <c r="D11" s="5">
        <f t="shared" si="0"/>
        <v>2496.2463400000001</v>
      </c>
      <c r="E11" s="5">
        <f>2596.53+J2</f>
        <v>2596.5300000000002</v>
      </c>
      <c r="F11" s="5">
        <v>2674.4259000000002</v>
      </c>
      <c r="G11" s="166">
        <v>2731.0059469297862</v>
      </c>
      <c r="H11" s="119">
        <f t="shared" si="1"/>
        <v>2731.0059469297862</v>
      </c>
      <c r="I11">
        <v>40</v>
      </c>
    </row>
    <row r="12" spans="1:12" ht="13.8" x14ac:dyDescent="0.25">
      <c r="A12" s="14" t="s">
        <v>48</v>
      </c>
      <c r="B12" s="165" t="s">
        <v>97</v>
      </c>
      <c r="C12" s="5">
        <v>2540.27</v>
      </c>
      <c r="D12" s="5">
        <f t="shared" si="0"/>
        <v>2547.8908099999999</v>
      </c>
      <c r="E12" s="5">
        <f>2649.17+J2</f>
        <v>2649.17</v>
      </c>
      <c r="F12" s="5">
        <v>2728.6451000000002</v>
      </c>
      <c r="G12" s="166">
        <v>2787.3008779961824</v>
      </c>
      <c r="H12" s="119">
        <f t="shared" si="1"/>
        <v>2787.3008779961824</v>
      </c>
      <c r="I12">
        <v>41</v>
      </c>
    </row>
    <row r="13" spans="1:12" ht="13.8" x14ac:dyDescent="0.25">
      <c r="A13" s="14" t="s">
        <v>49</v>
      </c>
      <c r="B13" s="165" t="s">
        <v>97</v>
      </c>
      <c r="C13" s="5">
        <v>2591.7600000000002</v>
      </c>
      <c r="D13" s="5">
        <f t="shared" si="0"/>
        <v>2599.5352800000001</v>
      </c>
      <c r="E13" s="5">
        <f>2702.15+J2</f>
        <v>2702.15</v>
      </c>
      <c r="F13" s="5">
        <v>2783.2145</v>
      </c>
      <c r="G13" s="166">
        <v>2843.0468955561055</v>
      </c>
      <c r="H13" s="119">
        <f t="shared" si="1"/>
        <v>2843.0468955561055</v>
      </c>
      <c r="I13">
        <v>42</v>
      </c>
    </row>
    <row r="14" spans="1:12" ht="13.8" x14ac:dyDescent="0.25">
      <c r="A14" s="14" t="s">
        <v>50</v>
      </c>
      <c r="B14" s="165" t="s">
        <v>97</v>
      </c>
      <c r="C14" s="5">
        <v>2643.26</v>
      </c>
      <c r="D14" s="5">
        <f t="shared" si="0"/>
        <v>2651.1897800000002</v>
      </c>
      <c r="E14" s="5">
        <f>2755.84+J2</f>
        <v>2755.84</v>
      </c>
      <c r="F14" s="5">
        <v>2838.5152000000003</v>
      </c>
      <c r="G14" s="166">
        <v>2899.5401337884805</v>
      </c>
      <c r="H14" s="119">
        <f t="shared" si="1"/>
        <v>2899.5401337884805</v>
      </c>
      <c r="I14">
        <v>43</v>
      </c>
    </row>
    <row r="15" spans="1:12" ht="13.8" x14ac:dyDescent="0.25">
      <c r="A15" s="14" t="s">
        <v>51</v>
      </c>
      <c r="B15" s="165" t="s">
        <v>97</v>
      </c>
      <c r="C15" s="5">
        <v>2694.75</v>
      </c>
      <c r="D15" s="5">
        <f t="shared" si="0"/>
        <v>2702.8342499999999</v>
      </c>
      <c r="E15" s="5">
        <f>2809.52+J2</f>
        <v>2809.52</v>
      </c>
      <c r="F15" s="5">
        <v>2893.8056000000001</v>
      </c>
      <c r="G15" s="166">
        <v>2956.0224024600325</v>
      </c>
      <c r="H15" s="119">
        <f t="shared" si="1"/>
        <v>2956.0224024600325</v>
      </c>
      <c r="I15">
        <v>44</v>
      </c>
    </row>
    <row r="16" spans="1:12" ht="13.8" x14ac:dyDescent="0.25">
      <c r="A16" s="14" t="s">
        <v>52</v>
      </c>
      <c r="B16" s="165" t="s">
        <v>97</v>
      </c>
      <c r="C16" s="5">
        <v>2746.24</v>
      </c>
      <c r="D16" s="5">
        <f t="shared" si="0"/>
        <v>2754.4787199999996</v>
      </c>
      <c r="E16" s="5">
        <f>2863.21+J2</f>
        <v>2863.21</v>
      </c>
      <c r="F16" s="5">
        <v>2949.1062999999999</v>
      </c>
      <c r="G16" s="166">
        <v>3012.5046711315858</v>
      </c>
      <c r="H16" s="119">
        <f t="shared" si="1"/>
        <v>3012.5046711315858</v>
      </c>
      <c r="I16">
        <v>45</v>
      </c>
    </row>
    <row r="17" spans="1:9" ht="13.8" x14ac:dyDescent="0.25">
      <c r="A17" s="14" t="s">
        <v>53</v>
      </c>
      <c r="B17" s="165" t="s">
        <v>97</v>
      </c>
      <c r="C17" s="5">
        <v>2797.73</v>
      </c>
      <c r="D17" s="5">
        <f t="shared" si="0"/>
        <v>2806.1231899999998</v>
      </c>
      <c r="E17" s="5">
        <f>2916.89+J2</f>
        <v>2916.89</v>
      </c>
      <c r="F17" s="5">
        <v>3004.3966999999998</v>
      </c>
      <c r="G17" s="166">
        <v>3068.9869398031392</v>
      </c>
      <c r="H17" s="119">
        <f t="shared" si="1"/>
        <v>3068.9869398031392</v>
      </c>
      <c r="I17">
        <v>46</v>
      </c>
    </row>
    <row r="18" spans="1:9" ht="13.8" x14ac:dyDescent="0.25">
      <c r="A18" s="14" t="s">
        <v>54</v>
      </c>
      <c r="B18" s="165" t="s">
        <v>97</v>
      </c>
      <c r="C18" s="5">
        <v>2849.22</v>
      </c>
      <c r="D18" s="5">
        <f t="shared" si="0"/>
        <v>2857.76766</v>
      </c>
      <c r="E18" s="5">
        <f>2970.57+J2</f>
        <v>2970.57</v>
      </c>
      <c r="F18" s="5">
        <v>3059.6871000000001</v>
      </c>
      <c r="G18" s="166">
        <v>3125.4692084746916</v>
      </c>
      <c r="H18" s="119">
        <f t="shared" si="1"/>
        <v>3125.4692084746916</v>
      </c>
      <c r="I18">
        <v>47</v>
      </c>
    </row>
    <row r="19" spans="1:9" ht="13.8" x14ac:dyDescent="0.25">
      <c r="A19" s="14" t="s">
        <v>55</v>
      </c>
      <c r="B19" s="165" t="s">
        <v>97</v>
      </c>
      <c r="C19" s="5">
        <v>2900.72</v>
      </c>
      <c r="D19" s="5">
        <f t="shared" si="0"/>
        <v>2909.4221599999996</v>
      </c>
      <c r="E19" s="5">
        <f>3024.25+J2</f>
        <v>3024.25</v>
      </c>
      <c r="F19" s="5">
        <v>3114.9775</v>
      </c>
      <c r="G19" s="166">
        <v>3181.9624467070666</v>
      </c>
      <c r="H19" s="119">
        <f t="shared" si="1"/>
        <v>3181.9624467070666</v>
      </c>
      <c r="I19">
        <v>48</v>
      </c>
    </row>
    <row r="20" spans="1:9" ht="13.8" x14ac:dyDescent="0.25">
      <c r="A20" s="14" t="s">
        <v>56</v>
      </c>
      <c r="B20" s="165" t="s">
        <v>97</v>
      </c>
      <c r="C20" s="5">
        <v>2952.21</v>
      </c>
      <c r="D20" s="5">
        <f t="shared" si="0"/>
        <v>2961.0666300000003</v>
      </c>
      <c r="E20" s="5">
        <f>3077.94+J2</f>
        <v>3077.94</v>
      </c>
      <c r="F20" s="5">
        <v>3170.2782000000002</v>
      </c>
      <c r="G20" s="166">
        <v>3238.4447153786205</v>
      </c>
      <c r="H20" s="119">
        <f t="shared" si="1"/>
        <v>3238.4447153786205</v>
      </c>
      <c r="I20">
        <v>49</v>
      </c>
    </row>
    <row r="21" spans="1:9" ht="13.8" x14ac:dyDescent="0.25">
      <c r="A21" s="14" t="s">
        <v>57</v>
      </c>
      <c r="B21" s="165" t="s">
        <v>97</v>
      </c>
      <c r="C21" s="5">
        <v>3003.7</v>
      </c>
      <c r="D21" s="5">
        <f t="shared" si="0"/>
        <v>3012.7111</v>
      </c>
      <c r="E21" s="5">
        <f>3131.63+J2</f>
        <v>3131.63</v>
      </c>
      <c r="F21" s="5">
        <v>3225.5789</v>
      </c>
      <c r="G21" s="166">
        <v>3294.9269840501725</v>
      </c>
      <c r="H21" s="119">
        <f t="shared" si="1"/>
        <v>3294.9269840501725</v>
      </c>
      <c r="I21">
        <v>50</v>
      </c>
    </row>
    <row r="22" spans="1:9" ht="13.8" x14ac:dyDescent="0.25">
      <c r="A22" s="14" t="s">
        <v>58</v>
      </c>
      <c r="B22" s="165" t="s">
        <v>97</v>
      </c>
      <c r="C22" s="5">
        <v>3055.19</v>
      </c>
      <c r="D22" s="5">
        <f t="shared" si="0"/>
        <v>3064.3555700000002</v>
      </c>
      <c r="E22" s="5">
        <f>3185.32+J2</f>
        <v>3185.32</v>
      </c>
      <c r="F22" s="5">
        <v>3280.8796000000002</v>
      </c>
      <c r="G22" s="166">
        <v>3351.4092527217254</v>
      </c>
      <c r="H22" s="119">
        <f t="shared" si="1"/>
        <v>3351.4092527217254</v>
      </c>
      <c r="I22">
        <v>51</v>
      </c>
    </row>
    <row r="23" spans="1:9" ht="13.8" x14ac:dyDescent="0.25">
      <c r="A23" s="14" t="s">
        <v>59</v>
      </c>
      <c r="B23" s="165" t="s">
        <v>97</v>
      </c>
      <c r="C23" s="5">
        <v>3106.68</v>
      </c>
      <c r="D23" s="5">
        <f t="shared" si="0"/>
        <v>3116.0000399999999</v>
      </c>
      <c r="E23" s="5">
        <f>3238.99+J2</f>
        <v>3238.99</v>
      </c>
      <c r="F23" s="5">
        <v>3336.1596999999997</v>
      </c>
      <c r="G23" s="166">
        <v>3407.8915213932778</v>
      </c>
      <c r="H23" s="119">
        <f t="shared" si="1"/>
        <v>3407.8915213932778</v>
      </c>
      <c r="I23">
        <v>52</v>
      </c>
    </row>
    <row r="24" spans="1:9" ht="13.8" x14ac:dyDescent="0.25">
      <c r="A24" s="14" t="s">
        <v>60</v>
      </c>
      <c r="B24" s="165" t="s">
        <v>97</v>
      </c>
      <c r="C24" s="5">
        <v>3158.18</v>
      </c>
      <c r="D24" s="5">
        <f t="shared" si="0"/>
        <v>3167.65454</v>
      </c>
      <c r="E24" s="5">
        <f>3292.68+J2</f>
        <v>3292.68</v>
      </c>
      <c r="F24" s="5">
        <v>3391.4603999999999</v>
      </c>
      <c r="G24" s="166">
        <v>3464.3847596256533</v>
      </c>
      <c r="H24" s="119">
        <f t="shared" si="1"/>
        <v>3464.3847596256533</v>
      </c>
      <c r="I24">
        <v>53</v>
      </c>
    </row>
    <row r="25" spans="1:9" ht="13.8" x14ac:dyDescent="0.25">
      <c r="A25" s="14" t="s">
        <v>61</v>
      </c>
      <c r="B25" s="165">
        <v>3</v>
      </c>
      <c r="C25" s="5">
        <v>3209.67</v>
      </c>
      <c r="D25" s="5">
        <f t="shared" si="0"/>
        <v>3219.2990100000002</v>
      </c>
      <c r="E25" s="5">
        <f>3346.37+J2</f>
        <v>3346.37</v>
      </c>
      <c r="F25" s="5">
        <v>3446.7610999999997</v>
      </c>
      <c r="G25" s="166">
        <v>3520.8670282972066</v>
      </c>
      <c r="H25" s="119">
        <f t="shared" si="1"/>
        <v>3520.8670282972066</v>
      </c>
      <c r="I25">
        <v>54</v>
      </c>
    </row>
    <row r="26" spans="1:9" ht="13.8" x14ac:dyDescent="0.25">
      <c r="A26" s="14" t="s">
        <v>62</v>
      </c>
      <c r="B26" s="165">
        <v>3</v>
      </c>
      <c r="C26" s="5">
        <v>3261.16</v>
      </c>
      <c r="D26" s="5">
        <f t="shared" si="0"/>
        <v>3270.9434799999999</v>
      </c>
      <c r="E26" s="5">
        <f>3400.05+J2</f>
        <v>3400.05</v>
      </c>
      <c r="F26" s="5">
        <v>3502.0515</v>
      </c>
      <c r="G26" s="166">
        <v>3577.4589925769774</v>
      </c>
      <c r="H26" s="119">
        <f t="shared" si="1"/>
        <v>3577.4589925769774</v>
      </c>
      <c r="I26">
        <v>55</v>
      </c>
    </row>
    <row r="27" spans="1:9" ht="13.8" x14ac:dyDescent="0.25">
      <c r="A27" s="14" t="s">
        <v>63</v>
      </c>
      <c r="B27" s="165">
        <v>3</v>
      </c>
      <c r="C27" s="5">
        <v>3312.65</v>
      </c>
      <c r="D27" s="5">
        <f t="shared" si="0"/>
        <v>3322.5879500000001</v>
      </c>
      <c r="E27" s="5">
        <f>3453.74+J2</f>
        <v>3453.74</v>
      </c>
      <c r="F27" s="5">
        <v>3557.3521999999998</v>
      </c>
      <c r="G27" s="166">
        <v>3633.8315656403115</v>
      </c>
      <c r="H27" s="119">
        <f t="shared" si="1"/>
        <v>3633.8315656403115</v>
      </c>
      <c r="I27">
        <v>56</v>
      </c>
    </row>
    <row r="28" spans="1:9" ht="13.8" x14ac:dyDescent="0.25">
      <c r="A28" s="14" t="s">
        <v>64</v>
      </c>
      <c r="B28" s="165">
        <v>3</v>
      </c>
      <c r="C28" s="5">
        <v>3364.14</v>
      </c>
      <c r="D28" s="5">
        <f t="shared" si="0"/>
        <v>3374.2324199999998</v>
      </c>
      <c r="E28" s="5">
        <f>3507.42+J2</f>
        <v>3507.42</v>
      </c>
      <c r="F28" s="5">
        <v>3612.6426000000001</v>
      </c>
      <c r="G28" s="166">
        <v>3690.313834311864</v>
      </c>
      <c r="H28" s="119">
        <f t="shared" si="1"/>
        <v>3690.313834311864</v>
      </c>
      <c r="I28">
        <v>57</v>
      </c>
    </row>
    <row r="29" spans="1:9" ht="13.8" x14ac:dyDescent="0.25">
      <c r="A29" s="14" t="s">
        <v>65</v>
      </c>
      <c r="B29" s="165">
        <v>3</v>
      </c>
      <c r="C29" s="5">
        <v>3415.64</v>
      </c>
      <c r="D29" s="5">
        <f t="shared" si="0"/>
        <v>3425.8869199999999</v>
      </c>
      <c r="E29" s="5">
        <f>3561.11+J2</f>
        <v>3561.11</v>
      </c>
      <c r="F29" s="5">
        <v>3667.9432999999999</v>
      </c>
      <c r="G29" s="166">
        <v>3746.807072544239</v>
      </c>
      <c r="H29" s="119">
        <f t="shared" si="1"/>
        <v>3746.807072544239</v>
      </c>
      <c r="I29">
        <v>58</v>
      </c>
    </row>
    <row r="30" spans="1:9" ht="13.8" x14ac:dyDescent="0.25">
      <c r="A30" s="14" t="s">
        <v>66</v>
      </c>
      <c r="B30" s="165">
        <v>3</v>
      </c>
      <c r="C30" s="5">
        <v>3467.13</v>
      </c>
      <c r="D30" s="5">
        <f t="shared" si="0"/>
        <v>3477.5313900000001</v>
      </c>
      <c r="E30" s="5">
        <f>3614.8+J2</f>
        <v>3614.8</v>
      </c>
      <c r="F30" s="5">
        <v>3723.2440000000001</v>
      </c>
      <c r="G30" s="166">
        <v>3803.2893412157928</v>
      </c>
      <c r="H30" s="119">
        <f t="shared" si="1"/>
        <v>3803.2893412157928</v>
      </c>
      <c r="I30">
        <v>59</v>
      </c>
    </row>
    <row r="31" spans="1:9" ht="13.8" x14ac:dyDescent="0.25">
      <c r="A31" s="14" t="s">
        <v>67</v>
      </c>
      <c r="B31" s="165">
        <v>3</v>
      </c>
      <c r="C31" s="5">
        <v>3518.62</v>
      </c>
      <c r="D31" s="5">
        <f t="shared" si="0"/>
        <v>3529.1758599999998</v>
      </c>
      <c r="E31" s="5">
        <f>3668.48+J2</f>
        <v>3668.48</v>
      </c>
      <c r="F31" s="5">
        <v>3778.5344</v>
      </c>
      <c r="G31" s="166">
        <v>3859.7716098873452</v>
      </c>
      <c r="H31" s="119">
        <f t="shared" si="1"/>
        <v>3859.7716098873452</v>
      </c>
      <c r="I31">
        <v>60</v>
      </c>
    </row>
    <row r="32" spans="1:9" ht="13.8" x14ac:dyDescent="0.25">
      <c r="A32" s="14" t="s">
        <v>68</v>
      </c>
      <c r="B32" s="165">
        <v>3</v>
      </c>
      <c r="C32" s="5">
        <v>3570.11</v>
      </c>
      <c r="D32" s="5">
        <f t="shared" si="0"/>
        <v>3580.82033</v>
      </c>
      <c r="E32" s="5">
        <f>3722.16+J2</f>
        <v>3722.16</v>
      </c>
      <c r="F32" s="5">
        <v>3833.8247999999999</v>
      </c>
      <c r="G32" s="166">
        <v>3916.2538785588981</v>
      </c>
      <c r="H32" s="119">
        <f t="shared" si="1"/>
        <v>3916.2538785588981</v>
      </c>
      <c r="I32">
        <v>61</v>
      </c>
    </row>
    <row r="33" spans="1:9" ht="13.8" x14ac:dyDescent="0.25">
      <c r="A33" s="14" t="s">
        <v>69</v>
      </c>
      <c r="B33" s="165">
        <v>4</v>
      </c>
      <c r="C33" s="5">
        <v>3621.6</v>
      </c>
      <c r="D33" s="5">
        <f t="shared" si="0"/>
        <v>3632.4647999999997</v>
      </c>
      <c r="E33" s="5">
        <f>3775.83+J2</f>
        <v>3775.83</v>
      </c>
      <c r="F33" s="5">
        <v>3889.1048999999998</v>
      </c>
      <c r="G33" s="166">
        <v>3972.7361472304501</v>
      </c>
      <c r="H33" s="119">
        <f t="shared" si="1"/>
        <v>3972.7361472304501</v>
      </c>
      <c r="I33">
        <v>62</v>
      </c>
    </row>
    <row r="34" spans="1:9" ht="13.8" x14ac:dyDescent="0.25">
      <c r="A34" s="14" t="s">
        <v>70</v>
      </c>
      <c r="B34" s="165">
        <v>4</v>
      </c>
      <c r="C34" s="5">
        <v>3673.1</v>
      </c>
      <c r="D34" s="5">
        <f t="shared" si="0"/>
        <v>3684.1192999999998</v>
      </c>
      <c r="E34" s="5">
        <f>3829.55+J2</f>
        <v>3829.55</v>
      </c>
      <c r="F34" s="5">
        <v>3944.4365000000003</v>
      </c>
      <c r="G34" s="166">
        <v>4029.2293854628251</v>
      </c>
      <c r="H34" s="119">
        <f t="shared" si="1"/>
        <v>4029.2293854628251</v>
      </c>
      <c r="I34">
        <v>63</v>
      </c>
    </row>
    <row r="35" spans="1:9" ht="13.8" x14ac:dyDescent="0.25">
      <c r="A35" s="14" t="s">
        <v>71</v>
      </c>
      <c r="B35" s="165">
        <v>4</v>
      </c>
      <c r="C35" s="5">
        <v>3724.59</v>
      </c>
      <c r="D35" s="5">
        <f t="shared" si="0"/>
        <v>3735.76377</v>
      </c>
      <c r="E35" s="5">
        <f>3883.22+J2</f>
        <v>3883.22</v>
      </c>
      <c r="F35" s="5">
        <v>3999.7165999999997</v>
      </c>
      <c r="G35" s="166">
        <v>4085.7116541343789</v>
      </c>
      <c r="H35" s="119">
        <f t="shared" si="1"/>
        <v>4085.7116541343789</v>
      </c>
      <c r="I35">
        <v>64</v>
      </c>
    </row>
    <row r="36" spans="1:9" ht="13.8" x14ac:dyDescent="0.25">
      <c r="A36" s="14" t="s">
        <v>72</v>
      </c>
      <c r="B36" s="165">
        <v>4</v>
      </c>
      <c r="C36" s="5">
        <v>3776.08</v>
      </c>
      <c r="D36" s="5">
        <f t="shared" si="0"/>
        <v>3787.4082399999998</v>
      </c>
      <c r="E36" s="5">
        <f>3936.91+J2</f>
        <v>3936.91</v>
      </c>
      <c r="F36" s="5">
        <v>4055.0173</v>
      </c>
      <c r="G36" s="166">
        <v>4142.1939228059318</v>
      </c>
      <c r="H36" s="119">
        <f t="shared" si="1"/>
        <v>4142.1939228059318</v>
      </c>
      <c r="I36">
        <v>65</v>
      </c>
    </row>
    <row r="37" spans="1:9" ht="13.8" x14ac:dyDescent="0.25">
      <c r="A37" s="14" t="s">
        <v>73</v>
      </c>
      <c r="B37" s="165">
        <v>4</v>
      </c>
      <c r="C37" s="5">
        <v>3827.57</v>
      </c>
      <c r="D37" s="5">
        <f t="shared" si="0"/>
        <v>3839.0527100000004</v>
      </c>
      <c r="E37" s="5">
        <f>3990.58+J2</f>
        <v>3990.58</v>
      </c>
      <c r="F37" s="5">
        <v>4110.2973999999995</v>
      </c>
      <c r="G37" s="166">
        <v>4198.6761914774843</v>
      </c>
      <c r="H37" s="119">
        <f t="shared" si="1"/>
        <v>4198.6761914774843</v>
      </c>
      <c r="I37">
        <v>66</v>
      </c>
    </row>
    <row r="38" spans="1:9" ht="13.8" x14ac:dyDescent="0.25">
      <c r="A38" s="14" t="s">
        <v>74</v>
      </c>
      <c r="B38" s="165">
        <v>4</v>
      </c>
      <c r="C38" s="5">
        <v>3879.06</v>
      </c>
      <c r="D38" s="5">
        <f t="shared" si="0"/>
        <v>3890.6971800000001</v>
      </c>
      <c r="E38" s="5">
        <f>4044.27+J2</f>
        <v>4044.27</v>
      </c>
      <c r="F38" s="5">
        <v>4165.5981000000002</v>
      </c>
      <c r="G38" s="166">
        <v>4255.1584601490367</v>
      </c>
      <c r="H38" s="119">
        <f t="shared" si="1"/>
        <v>4255.1584601490367</v>
      </c>
      <c r="I38">
        <v>67</v>
      </c>
    </row>
    <row r="39" spans="1:9" ht="13.8" x14ac:dyDescent="0.25">
      <c r="A39" s="14" t="s">
        <v>75</v>
      </c>
      <c r="B39" s="165">
        <v>4</v>
      </c>
      <c r="C39" s="5">
        <v>3930.56</v>
      </c>
      <c r="D39" s="5">
        <f t="shared" si="0"/>
        <v>3942.3516799999998</v>
      </c>
      <c r="E39" s="5">
        <f>4097.96+J2</f>
        <v>4097.96</v>
      </c>
      <c r="F39" s="5">
        <v>4220.8987999999999</v>
      </c>
      <c r="G39" s="166">
        <v>4311.6516983814108</v>
      </c>
      <c r="H39" s="119">
        <f t="shared" si="1"/>
        <v>4311.6516983814108</v>
      </c>
      <c r="I39">
        <v>68</v>
      </c>
    </row>
    <row r="40" spans="1:9" ht="13.8" x14ac:dyDescent="0.25">
      <c r="A40" s="14" t="s">
        <v>76</v>
      </c>
      <c r="B40" s="165">
        <v>4</v>
      </c>
      <c r="C40" s="5">
        <v>3982.05</v>
      </c>
      <c r="D40" s="5">
        <f t="shared" si="0"/>
        <v>3993.9961500000004</v>
      </c>
      <c r="E40" s="5">
        <f>4151.66+J2</f>
        <v>4151.66</v>
      </c>
      <c r="F40" s="5">
        <v>4276.2097999999996</v>
      </c>
      <c r="G40" s="166">
        <v>4368.1339670529651</v>
      </c>
      <c r="H40" s="119">
        <f t="shared" si="1"/>
        <v>4368.1339670529651</v>
      </c>
      <c r="I40">
        <v>69</v>
      </c>
    </row>
    <row r="41" spans="1:9" ht="13.8" x14ac:dyDescent="0.25">
      <c r="A41" s="14" t="s">
        <v>77</v>
      </c>
      <c r="B41" s="165">
        <v>4</v>
      </c>
      <c r="C41" s="5">
        <v>4033.54</v>
      </c>
      <c r="D41" s="5">
        <f t="shared" si="0"/>
        <v>4045.6406200000001</v>
      </c>
      <c r="E41" s="5">
        <f>4205.33+J2</f>
        <v>4205.33</v>
      </c>
      <c r="F41" s="5">
        <v>4331.4898999999996</v>
      </c>
      <c r="G41" s="166">
        <v>4424.6162357245166</v>
      </c>
      <c r="H41" s="119">
        <f t="shared" si="1"/>
        <v>4424.6162357245166</v>
      </c>
      <c r="I41">
        <v>70</v>
      </c>
    </row>
    <row r="42" spans="1:9" ht="13.8" x14ac:dyDescent="0.25">
      <c r="A42" s="14" t="s">
        <v>78</v>
      </c>
      <c r="B42" s="165">
        <v>4</v>
      </c>
      <c r="C42" s="5">
        <v>4085.03</v>
      </c>
      <c r="D42" s="5">
        <f t="shared" si="0"/>
        <v>4097.2850900000003</v>
      </c>
      <c r="E42" s="5">
        <f>4259.02+J2</f>
        <v>4259.0200000000004</v>
      </c>
      <c r="F42" s="5">
        <v>4386.7906000000003</v>
      </c>
      <c r="G42" s="166">
        <v>4481.0985043960709</v>
      </c>
      <c r="H42" s="119">
        <f t="shared" si="1"/>
        <v>4481.0985043960709</v>
      </c>
      <c r="I42">
        <v>71</v>
      </c>
    </row>
    <row r="43" spans="1:9" ht="13.8" x14ac:dyDescent="0.25">
      <c r="A43" s="14" t="s">
        <v>79</v>
      </c>
      <c r="B43" s="165">
        <v>4</v>
      </c>
      <c r="C43" s="5">
        <v>4136.5200000000004</v>
      </c>
      <c r="D43" s="5">
        <f t="shared" si="0"/>
        <v>4148.9295600000005</v>
      </c>
      <c r="E43" s="5">
        <f>4312.7+J2</f>
        <v>4312.7</v>
      </c>
      <c r="F43" s="5">
        <v>4442.0810000000001</v>
      </c>
      <c r="G43" s="166">
        <v>4537.5807730676233</v>
      </c>
      <c r="H43" s="119">
        <f t="shared" si="1"/>
        <v>4537.5807730676233</v>
      </c>
      <c r="I43">
        <v>72</v>
      </c>
    </row>
    <row r="44" spans="1:9" ht="13.8" x14ac:dyDescent="0.25">
      <c r="A44" s="14" t="s">
        <v>80</v>
      </c>
      <c r="B44" s="165">
        <v>4</v>
      </c>
      <c r="C44" s="5">
        <v>4188.0200000000004</v>
      </c>
      <c r="D44" s="5">
        <f t="shared" si="0"/>
        <v>4200.5840600000001</v>
      </c>
      <c r="E44" s="5">
        <f>4366.39+J2</f>
        <v>4366.3900000000003</v>
      </c>
      <c r="F44" s="5">
        <v>4497.3816999999999</v>
      </c>
      <c r="G44" s="166">
        <v>4594.0740112999974</v>
      </c>
      <c r="H44" s="119">
        <f t="shared" si="1"/>
        <v>4594.0740112999974</v>
      </c>
      <c r="I44">
        <v>73</v>
      </c>
    </row>
    <row r="45" spans="1:9" ht="13.8" x14ac:dyDescent="0.25">
      <c r="A45" s="14" t="s">
        <v>81</v>
      </c>
      <c r="B45" s="165">
        <v>4</v>
      </c>
      <c r="C45" s="5">
        <v>4239.51</v>
      </c>
      <c r="D45" s="5">
        <f t="shared" si="0"/>
        <v>4252.2285300000003</v>
      </c>
      <c r="E45" s="5">
        <f>4420.07+J2</f>
        <v>4420.07</v>
      </c>
      <c r="F45" s="5">
        <v>4552.6720999999998</v>
      </c>
      <c r="G45" s="166">
        <v>4650.5562799715508</v>
      </c>
      <c r="H45" s="119">
        <f t="shared" si="1"/>
        <v>4650.5562799715508</v>
      </c>
      <c r="I45">
        <v>74</v>
      </c>
    </row>
    <row r="46" spans="1:9" ht="13.8" x14ac:dyDescent="0.25">
      <c r="A46" s="14" t="s">
        <v>82</v>
      </c>
      <c r="B46" s="165">
        <v>4</v>
      </c>
      <c r="C46" s="78">
        <v>4291</v>
      </c>
      <c r="D46" s="5">
        <f t="shared" si="0"/>
        <v>4303.8729999999996</v>
      </c>
      <c r="E46" s="5">
        <f>4473.74+J2</f>
        <v>4473.74</v>
      </c>
      <c r="F46" s="5">
        <v>4607.9521999999997</v>
      </c>
      <c r="G46" s="166">
        <v>4707.0385486431032</v>
      </c>
      <c r="H46" s="119">
        <f t="shared" si="1"/>
        <v>4707.0385486431032</v>
      </c>
      <c r="I46">
        <v>75</v>
      </c>
    </row>
    <row r="47" spans="1:9" ht="13.8" x14ac:dyDescent="0.25">
      <c r="A47" s="14" t="s">
        <v>83</v>
      </c>
      <c r="B47" s="165">
        <v>4</v>
      </c>
      <c r="C47" s="5">
        <v>4342.49</v>
      </c>
      <c r="D47" s="5">
        <f t="shared" si="0"/>
        <v>4355.5174699999998</v>
      </c>
      <c r="E47" s="5">
        <f>4527.44+J2</f>
        <v>4527.4399999999996</v>
      </c>
      <c r="F47" s="5">
        <v>4663.2631999999994</v>
      </c>
      <c r="G47" s="166">
        <v>4763.5208173146566</v>
      </c>
      <c r="H47" s="119">
        <f t="shared" si="1"/>
        <v>4763.5208173146566</v>
      </c>
      <c r="I47">
        <v>76</v>
      </c>
    </row>
    <row r="48" spans="1:9" ht="13.8" x14ac:dyDescent="0.25">
      <c r="A48" s="14" t="s">
        <v>84</v>
      </c>
      <c r="B48" s="165">
        <v>4</v>
      </c>
      <c r="C48" s="5">
        <v>4393.9799999999996</v>
      </c>
      <c r="D48" s="5">
        <f t="shared" si="0"/>
        <v>4407.16194</v>
      </c>
      <c r="E48" s="5">
        <f>4581.12+J2</f>
        <v>4581.12</v>
      </c>
      <c r="F48" s="5">
        <v>4718.5536000000002</v>
      </c>
      <c r="G48" s="166">
        <v>4820.00308598621</v>
      </c>
      <c r="H48" s="119">
        <f t="shared" si="1"/>
        <v>4820.00308598621</v>
      </c>
      <c r="I48">
        <v>77</v>
      </c>
    </row>
    <row r="49" spans="1:9" ht="13.8" x14ac:dyDescent="0.25">
      <c r="A49" s="14" t="s">
        <v>85</v>
      </c>
      <c r="B49" s="165">
        <v>4</v>
      </c>
      <c r="C49" s="5">
        <v>4445.4799999999996</v>
      </c>
      <c r="D49" s="5">
        <f t="shared" si="0"/>
        <v>4458.8164399999996</v>
      </c>
      <c r="E49" s="5">
        <f>4634.82+J2</f>
        <v>4634.82</v>
      </c>
      <c r="F49" s="5">
        <v>4773.8645999999999</v>
      </c>
      <c r="G49" s="166">
        <v>4876.496324218584</v>
      </c>
      <c r="H49" s="119">
        <f t="shared" si="1"/>
        <v>4876.496324218584</v>
      </c>
      <c r="I49">
        <v>78</v>
      </c>
    </row>
    <row r="50" spans="1:9" ht="13.8" x14ac:dyDescent="0.25">
      <c r="A50" s="14" t="s">
        <v>86</v>
      </c>
      <c r="B50" s="165">
        <v>4</v>
      </c>
      <c r="C50" s="5">
        <v>4496.97</v>
      </c>
      <c r="D50" s="5">
        <f t="shared" si="0"/>
        <v>4510.4609100000007</v>
      </c>
      <c r="E50" s="5">
        <f>4688.49+J2</f>
        <v>4688.49</v>
      </c>
      <c r="F50" s="5">
        <v>4829.1446999999998</v>
      </c>
      <c r="G50" s="166">
        <v>4932.9785928901374</v>
      </c>
      <c r="H50" s="119">
        <f t="shared" si="1"/>
        <v>4932.9785928901374</v>
      </c>
      <c r="I50">
        <v>79</v>
      </c>
    </row>
    <row r="51" spans="1:9" ht="13.8" x14ac:dyDescent="0.25">
      <c r="A51" s="14" t="s">
        <v>87</v>
      </c>
      <c r="B51" s="165">
        <v>4</v>
      </c>
      <c r="C51" s="5">
        <v>4548.46</v>
      </c>
      <c r="D51" s="5">
        <f t="shared" si="0"/>
        <v>4562.10538</v>
      </c>
      <c r="E51" s="5">
        <f>4742.18+J2</f>
        <v>4742.18</v>
      </c>
      <c r="F51" s="5">
        <v>4884.4454000000005</v>
      </c>
      <c r="G51" s="166">
        <v>4989.4608615616899</v>
      </c>
      <c r="H51" s="119">
        <f t="shared" si="1"/>
        <v>4989.4608615616899</v>
      </c>
      <c r="I51">
        <v>80</v>
      </c>
    </row>
    <row r="52" spans="1:9" ht="13.8" x14ac:dyDescent="0.25">
      <c r="A52" s="14" t="s">
        <v>88</v>
      </c>
      <c r="B52" s="165">
        <v>4</v>
      </c>
      <c r="C52" s="5">
        <v>4599.95</v>
      </c>
      <c r="D52" s="5">
        <f t="shared" si="0"/>
        <v>4613.7498500000002</v>
      </c>
      <c r="E52" s="5">
        <f>4795.86+J2</f>
        <v>4795.8599999999997</v>
      </c>
      <c r="F52" s="5">
        <v>4939.7357999999995</v>
      </c>
      <c r="G52" s="166">
        <v>5045.9431302332423</v>
      </c>
      <c r="H52" s="119">
        <f t="shared" si="1"/>
        <v>5045.9431302332423</v>
      </c>
      <c r="I52">
        <v>81</v>
      </c>
    </row>
    <row r="53" spans="1:9" ht="13.8" x14ac:dyDescent="0.25">
      <c r="A53" s="14" t="s">
        <v>89</v>
      </c>
      <c r="B53" s="165">
        <v>4</v>
      </c>
      <c r="C53" s="5">
        <v>4651.4399999999996</v>
      </c>
      <c r="D53" s="5">
        <f t="shared" si="0"/>
        <v>4665.3943199999994</v>
      </c>
      <c r="E53" s="5">
        <f>4849.55+J2</f>
        <v>4849.55</v>
      </c>
      <c r="F53" s="5">
        <v>4995.0365000000002</v>
      </c>
      <c r="G53" s="166">
        <v>5102.4253989047938</v>
      </c>
      <c r="H53" s="119">
        <f t="shared" si="1"/>
        <v>5102.4253989047938</v>
      </c>
      <c r="I53">
        <v>82</v>
      </c>
    </row>
    <row r="54" spans="1:9" x14ac:dyDescent="0.25">
      <c r="C54" s="5"/>
      <c r="D54" s="5"/>
      <c r="E54" s="5"/>
      <c r="F54" s="5"/>
      <c r="G54" s="166"/>
      <c r="H54" s="5"/>
    </row>
  </sheetData>
  <mergeCells count="2">
    <mergeCell ref="B3:C3"/>
    <mergeCell ref="K4:L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8</vt:i4>
      </vt:variant>
    </vt:vector>
  </HeadingPairs>
  <TitlesOfParts>
    <vt:vector size="8" baseType="lpstr">
      <vt:lpstr>General Information</vt:lpstr>
      <vt:lpstr>Budget Calculation</vt:lpstr>
      <vt:lpstr>Researcher Contract(DL 57_2016)</vt:lpstr>
      <vt:lpstr>Technical Staff Contract</vt:lpstr>
      <vt:lpstr>Research Studentship</vt:lpstr>
      <vt:lpstr>Cálculo Seg. acidentes trabalho</vt:lpstr>
      <vt:lpstr>Accident Insurance</vt:lpstr>
      <vt:lpstr>Researcher Remuneration Level</vt:lpstr>
    </vt:vector>
  </TitlesOfParts>
  <Company>Instituto Superior Técnico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Fernandes</dc:creator>
  <cp:lastModifiedBy>Susana Paula Salvador Varela</cp:lastModifiedBy>
  <cp:lastPrinted>2014-03-06T15:25:34Z</cp:lastPrinted>
  <dcterms:created xsi:type="dcterms:W3CDTF">2014-02-24T12:10:35Z</dcterms:created>
  <dcterms:modified xsi:type="dcterms:W3CDTF">2025-01-30T18:30:05Z</dcterms:modified>
</cp:coreProperties>
</file>