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24211\Desktop\"/>
    </mc:Choice>
  </mc:AlternateContent>
  <xr:revisionPtr revIDLastSave="0" documentId="13_ncr:1_{07ADEAA3-C9A8-4921-BAB2-8875C00DF844}" xr6:coauthVersionLast="47" xr6:coauthVersionMax="47" xr10:uidLastSave="{00000000-0000-0000-0000-000000000000}"/>
  <bookViews>
    <workbookView xWindow="-108" yWindow="-108" windowWidth="23256" windowHeight="12456" tabRatio="907" xr2:uid="{00000000-000D-0000-FFFF-FFFF00000000}"/>
  </bookViews>
  <sheets>
    <sheet name="Início_Informações " sheetId="17" r:id="rId1"/>
    <sheet name="RESUMO ORÇAMENTO IST-ID" sheetId="3" r:id="rId2"/>
    <sheet name="Contrato Doutorado (DL 57_2016)" sheetId="11" r:id="rId3"/>
    <sheet name="Contrato Carreira Técnico Sup." sheetId="25" r:id="rId4"/>
    <sheet name="Bolsas" sheetId="5" r:id="rId5"/>
    <sheet name="Cálculo Seg. acidentes trabalho" sheetId="19" r:id="rId6"/>
    <sheet name="Nivel Remuneratório Doutorado" sheetId="12" r:id="rId7"/>
  </sheets>
  <definedNames>
    <definedName name="_xlnm.Print_Area" localSheetId="1">'RESUMO ORÇAMENTO IST-ID'!#REF!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C14" i="3"/>
  <c r="C16" i="3" l="1"/>
  <c r="G24" i="17" l="1"/>
  <c r="G5" i="12" l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E4" i="12"/>
  <c r="F4" i="12" s="1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M11" i="5" l="1"/>
  <c r="M10" i="5"/>
  <c r="M9" i="5"/>
  <c r="M8" i="5"/>
  <c r="I11" i="5"/>
  <c r="I10" i="5"/>
  <c r="I9" i="5"/>
  <c r="I8" i="5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4" i="12"/>
  <c r="B6" i="11"/>
  <c r="B10" i="25" l="1"/>
  <c r="E11" i="5" l="1"/>
  <c r="P11" i="5" s="1"/>
  <c r="E10" i="5"/>
  <c r="P10" i="5" s="1"/>
  <c r="E9" i="5"/>
  <c r="P9" i="5" s="1"/>
  <c r="E8" i="5"/>
  <c r="P8" i="5" s="1"/>
  <c r="P12" i="5" l="1"/>
  <c r="H14" i="25"/>
  <c r="B5" i="11" l="1"/>
  <c r="B4" i="11" s="1"/>
  <c r="G5" i="11" l="1"/>
  <c r="H5" i="11"/>
  <c r="G7" i="11"/>
  <c r="F7" i="11"/>
  <c r="E7" i="11"/>
  <c r="G14" i="25"/>
  <c r="B3" i="19"/>
  <c r="B13" i="11"/>
  <c r="H13" i="11" s="1"/>
  <c r="G21" i="25"/>
  <c r="F21" i="25"/>
  <c r="J21" i="25"/>
  <c r="I21" i="25"/>
  <c r="E21" i="25"/>
  <c r="D21" i="25"/>
  <c r="D10" i="25" l="1"/>
  <c r="H10" i="25"/>
  <c r="F10" i="25"/>
  <c r="G10" i="25"/>
  <c r="J10" i="25"/>
  <c r="I10" i="25"/>
  <c r="E10" i="25"/>
  <c r="G17" i="11" l="1"/>
  <c r="F17" i="11"/>
  <c r="J17" i="11"/>
  <c r="I17" i="11"/>
  <c r="E17" i="11"/>
  <c r="G9" i="11" l="1"/>
  <c r="E9" i="11"/>
  <c r="B16" i="11" l="1"/>
  <c r="H16" i="11" s="1"/>
  <c r="B9" i="11"/>
  <c r="H9" i="11" s="1"/>
  <c r="B9" i="25" l="1"/>
  <c r="B20" i="25" s="1"/>
  <c r="H9" i="25" l="1"/>
  <c r="D20" i="25"/>
  <c r="E11" i="25"/>
  <c r="B17" i="25"/>
  <c r="H17" i="25" s="1"/>
  <c r="B16" i="25"/>
  <c r="H16" i="25" s="1"/>
  <c r="B11" i="25"/>
  <c r="H11" i="25" s="1"/>
  <c r="B13" i="25"/>
  <c r="B15" i="25"/>
  <c r="H15" i="25" s="1"/>
  <c r="B12" i="25"/>
  <c r="H12" i="25" s="1"/>
  <c r="J9" i="25"/>
  <c r="F9" i="25"/>
  <c r="G9" i="25"/>
  <c r="D9" i="25"/>
  <c r="E9" i="25"/>
  <c r="I9" i="25"/>
  <c r="H18" i="25" l="1"/>
  <c r="H19" i="25"/>
  <c r="G13" i="25"/>
  <c r="H13" i="25"/>
  <c r="I20" i="25"/>
  <c r="H20" i="25"/>
  <c r="J20" i="25"/>
  <c r="G20" i="25"/>
  <c r="E20" i="25"/>
  <c r="F20" i="25"/>
  <c r="G11" i="25"/>
  <c r="F11" i="25"/>
  <c r="D17" i="25"/>
  <c r="I17" i="25" s="1"/>
  <c r="E17" i="25"/>
  <c r="J17" i="25"/>
  <c r="F17" i="25"/>
  <c r="G17" i="25"/>
  <c r="I13" i="25"/>
  <c r="J13" i="25"/>
  <c r="F13" i="25"/>
  <c r="D13" i="25"/>
  <c r="E13" i="25"/>
  <c r="D11" i="25"/>
  <c r="J12" i="25"/>
  <c r="F12" i="25"/>
  <c r="G12" i="25"/>
  <c r="D12" i="25"/>
  <c r="E12" i="25"/>
  <c r="E18" i="25" s="1"/>
  <c r="I12" i="25"/>
  <c r="D15" i="25"/>
  <c r="E15" i="25"/>
  <c r="J15" i="25"/>
  <c r="F15" i="25"/>
  <c r="G15" i="25"/>
  <c r="G16" i="25"/>
  <c r="D16" i="25"/>
  <c r="E16" i="25"/>
  <c r="J16" i="25"/>
  <c r="F16" i="25"/>
  <c r="D17" i="11"/>
  <c r="B6" i="19"/>
  <c r="B4" i="19"/>
  <c r="F18" i="25" l="1"/>
  <c r="G18" i="25"/>
  <c r="D18" i="25"/>
  <c r="H22" i="25"/>
  <c r="J19" i="25"/>
  <c r="E19" i="25"/>
  <c r="D19" i="25"/>
  <c r="G19" i="25"/>
  <c r="F19" i="25"/>
  <c r="I15" i="25"/>
  <c r="I16" i="25"/>
  <c r="I11" i="25"/>
  <c r="I18" i="25" s="1"/>
  <c r="J11" i="25"/>
  <c r="J18" i="25" s="1"/>
  <c r="B7" i="19"/>
  <c r="B8" i="19" s="1"/>
  <c r="H4" i="19" s="1"/>
  <c r="H9" i="19" s="1"/>
  <c r="B5" i="19"/>
  <c r="B9" i="19" s="1"/>
  <c r="N4" i="19" s="1"/>
  <c r="B10" i="19"/>
  <c r="T4" i="19" s="1"/>
  <c r="G13" i="11"/>
  <c r="F13" i="11"/>
  <c r="J13" i="11"/>
  <c r="E13" i="11"/>
  <c r="D13" i="11"/>
  <c r="I13" i="11" s="1"/>
  <c r="I19" i="25" l="1"/>
  <c r="H6" i="19"/>
  <c r="H7" i="19" s="1"/>
  <c r="T6" i="19"/>
  <c r="T9" i="19"/>
  <c r="N6" i="19"/>
  <c r="N9" i="19"/>
  <c r="H8" i="19" l="1"/>
  <c r="H10" i="19" s="1"/>
  <c r="N8" i="19"/>
  <c r="N7" i="19"/>
  <c r="T8" i="19"/>
  <c r="T7" i="19"/>
  <c r="T10" i="19" l="1"/>
  <c r="N10" i="19"/>
  <c r="B14" i="19" l="1"/>
  <c r="B10" i="11" s="1"/>
  <c r="H10" i="11" l="1"/>
  <c r="J10" i="11"/>
  <c r="E10" i="11"/>
  <c r="G10" i="11"/>
  <c r="I14" i="25" l="1"/>
  <c r="D14" i="25"/>
  <c r="D22" i="25" s="1"/>
  <c r="J14" i="25"/>
  <c r="G22" i="25"/>
  <c r="F14" i="25"/>
  <c r="J22" i="25" l="1"/>
  <c r="I22" i="25"/>
  <c r="F22" i="25"/>
  <c r="E14" i="25"/>
  <c r="E22" i="25" l="1"/>
  <c r="I16" i="11" l="1"/>
  <c r="B12" i="11"/>
  <c r="B11" i="11"/>
  <c r="I10" i="11"/>
  <c r="I9" i="11"/>
  <c r="F9" i="11"/>
  <c r="B8" i="11"/>
  <c r="B7" i="11"/>
  <c r="H7" i="11" s="1"/>
  <c r="F5" i="11"/>
  <c r="J5" i="11"/>
  <c r="I5" i="11"/>
  <c r="E5" i="11"/>
  <c r="D5" i="11"/>
  <c r="H6" i="11" l="1"/>
  <c r="J12" i="11"/>
  <c r="H12" i="11"/>
  <c r="G11" i="11"/>
  <c r="H11" i="11"/>
  <c r="J8" i="11"/>
  <c r="H8" i="11"/>
  <c r="H14" i="11" s="1"/>
  <c r="G6" i="11"/>
  <c r="F6" i="11"/>
  <c r="I6" i="11"/>
  <c r="D12" i="11"/>
  <c r="I12" i="11" s="1"/>
  <c r="E12" i="11"/>
  <c r="G12" i="11"/>
  <c r="F12" i="11"/>
  <c r="I8" i="11"/>
  <c r="F8" i="11"/>
  <c r="F14" i="11" s="1"/>
  <c r="E8" i="11"/>
  <c r="E14" i="11" s="1"/>
  <c r="G8" i="11"/>
  <c r="G14" i="11" s="1"/>
  <c r="D8" i="11"/>
  <c r="J11" i="11"/>
  <c r="J15" i="11" s="1"/>
  <c r="J16" i="11"/>
  <c r="J6" i="11"/>
  <c r="D7" i="11"/>
  <c r="D11" i="11"/>
  <c r="F11" i="11"/>
  <c r="D16" i="11"/>
  <c r="F16" i="11"/>
  <c r="D6" i="11"/>
  <c r="J9" i="11"/>
  <c r="D10" i="11"/>
  <c r="F10" i="11"/>
  <c r="E11" i="11"/>
  <c r="E16" i="11"/>
  <c r="G16" i="11"/>
  <c r="E6" i="11"/>
  <c r="D9" i="11"/>
  <c r="F15" i="11" l="1"/>
  <c r="E15" i="11"/>
  <c r="H15" i="11"/>
  <c r="G15" i="11"/>
  <c r="D14" i="11"/>
  <c r="D15" i="11"/>
  <c r="I11" i="11"/>
  <c r="I7" i="11"/>
  <c r="I14" i="11" s="1"/>
  <c r="J7" i="11"/>
  <c r="J14" i="11" s="1"/>
  <c r="F18" i="11" l="1"/>
  <c r="D18" i="11"/>
  <c r="I15" i="11"/>
  <c r="H18" i="11"/>
  <c r="G18" i="11"/>
  <c r="E18" i="11"/>
  <c r="J18" i="11" l="1"/>
  <c r="I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Ribeiro</author>
  </authors>
  <commentList>
    <comment ref="D5" authorId="0" shapeId="0" xr:uid="{D9AAB54C-CAC0-42DC-88A9-2C3EAFF80C83}">
      <text>
        <r>
          <rPr>
            <sz val="9"/>
            <color indexed="81"/>
            <rFont val="Tahoma"/>
            <charset val="1"/>
          </rPr>
          <t xml:space="preserve">
Tipo e nº de RH a contratar, índice remuneratório, duração do contrato</t>
        </r>
      </text>
    </comment>
    <comment ref="D6" authorId="0" shapeId="0" xr:uid="{EA981661-ACC1-4650-AF03-BF0664D2496E}">
      <text>
        <r>
          <rPr>
            <sz val="9"/>
            <color indexed="81"/>
            <rFont val="Tahoma"/>
            <charset val="1"/>
          </rPr>
          <t xml:space="preserve">
Tipo de bolsa, nº de bolsas, duração</t>
        </r>
      </text>
    </comment>
    <comment ref="D12" authorId="0" shapeId="0" xr:uid="{EBC4819E-3EDA-41E5-BA59-92D2059B797B}">
      <text>
        <r>
          <rPr>
            <sz val="9"/>
            <color indexed="81"/>
            <rFont val="Tahoma"/>
            <charset val="1"/>
          </rPr>
          <t xml:space="preserve">
Tipo de equipamento, vida útil</t>
        </r>
      </text>
    </comment>
  </commentList>
</comments>
</file>

<file path=xl/sharedStrings.xml><?xml version="1.0" encoding="utf-8"?>
<sst xmlns="http://schemas.openxmlformats.org/spreadsheetml/2006/main" count="322" uniqueCount="237">
  <si>
    <t>Tipo de bolsa</t>
  </si>
  <si>
    <t>Valor mensal [tab regulada FCT]</t>
  </si>
  <si>
    <t>Total</t>
  </si>
  <si>
    <t>Cálculo da massa salarial do trabalhor</t>
  </si>
  <si>
    <t xml:space="preserve">Valor do seguro de acidentes de trabalho </t>
  </si>
  <si>
    <t>Valor</t>
  </si>
  <si>
    <t>(Novembro)</t>
  </si>
  <si>
    <t>(Junho)</t>
  </si>
  <si>
    <t>(Janeiro a Maio, Julho a Outubro e Dezembro)</t>
  </si>
  <si>
    <t>Vencimento base mensal</t>
  </si>
  <si>
    <t xml:space="preserve">Valor </t>
  </si>
  <si>
    <t>Subsídio alimentação (média 22 dias/mês)</t>
  </si>
  <si>
    <t>Total da massa salarial</t>
  </si>
  <si>
    <t>Subsídio férias (Junho)</t>
  </si>
  <si>
    <t>Taxa do contrato</t>
  </si>
  <si>
    <t>Subsídio natal (1/24 avos)</t>
  </si>
  <si>
    <t>Prémio comercial</t>
  </si>
  <si>
    <t>3=1*2</t>
  </si>
  <si>
    <t>Subsídio natal (50% - Novembro)</t>
  </si>
  <si>
    <t>Imposto de selo</t>
  </si>
  <si>
    <t>4=3*4</t>
  </si>
  <si>
    <t>Total (Novembro)</t>
  </si>
  <si>
    <t>INEM</t>
  </si>
  <si>
    <t>5=3*2,5%</t>
  </si>
  <si>
    <t>Total (Junho)</t>
  </si>
  <si>
    <t>FAT</t>
  </si>
  <si>
    <t>6=1*0,15%</t>
  </si>
  <si>
    <t>Total (restantes meses)</t>
  </si>
  <si>
    <t>Prémio (1 mês)</t>
  </si>
  <si>
    <t>7=3+4+5+6</t>
  </si>
  <si>
    <t>Prémio (11 meses)</t>
  </si>
  <si>
    <t>Prémio total (12 meses)</t>
  </si>
  <si>
    <t>Nota: o cálculo deve ser atualizado em função do nível remuneratório aplicável.</t>
  </si>
  <si>
    <t>Observações</t>
  </si>
  <si>
    <t>Valor  12 m</t>
  </si>
  <si>
    <t>Subsídio de refeição mensal</t>
  </si>
  <si>
    <t>Subsídio de férias anual</t>
  </si>
  <si>
    <t>Duodécimo Sub. Natal (mês)</t>
  </si>
  <si>
    <t>Caducidade Contrato anual</t>
  </si>
  <si>
    <t>Seguro Acidentes Trabalho Ano)</t>
  </si>
  <si>
    <t>Férias não gozadas</t>
  </si>
  <si>
    <t>FCT+FGCT (1% do vencimento base)- mês</t>
  </si>
  <si>
    <t>Tabela remuneratória única</t>
  </si>
  <si>
    <t>Níveis remuneratórios/Montante pecuniário (euros)</t>
  </si>
  <si>
    <t>DL 57/2016, artig nº 15º</t>
  </si>
  <si>
    <t xml:space="preserve">Nível 1 </t>
  </si>
  <si>
    <t>Nível 2</t>
  </si>
  <si>
    <t>entre o nível 37 e 53</t>
  </si>
  <si>
    <t>Nível 3</t>
  </si>
  <si>
    <t>entre o nível 54 e 61</t>
  </si>
  <si>
    <t>Nível 4</t>
  </si>
  <si>
    <t>entre o nível 62 e 82</t>
  </si>
  <si>
    <t>33 . . . . . . . . . . . . . . . . . . . . . . . . . . . . . . . . . 2 128,34</t>
  </si>
  <si>
    <t>34 . . . . . . . . . . . . . . . . . . . . . . . . . . . . . . . . . 2 179,83</t>
  </si>
  <si>
    <t>35 . . . . . . . . . . . . . . . . . . . . . . . . . . . . . . . . . 2 231,32</t>
  </si>
  <si>
    <t>36 . . . . . . . . . . . . . . . . . . . . . . . . . . . . . . . . . 2 282,81</t>
  </si>
  <si>
    <t>37 . . . . . . . . . . . . . . . . . . . . . . . . . . . . . . . . . 2 334,30</t>
  </si>
  <si>
    <t>38 . . . . . . . . . . . . . . . . . . . . . . . . . . . . . . . . . 2 385,80</t>
  </si>
  <si>
    <t>39 . . . . . . . . . . . . . . . . . . . . . . . . . . . . . . . . . 2 437,29</t>
  </si>
  <si>
    <t>40 . . . . . . . . . . . . . . . . . . . . . . . . . . . . . . . . . 2 488,78</t>
  </si>
  <si>
    <t>41 . . . . . . . . . . . . . . . . . . . . . . . . . . . . . . . . . 2 540,27</t>
  </si>
  <si>
    <t>42 . . . . . . . . . . . . . . . . . . . . . . . . . . . . . . . . . 2 591,76</t>
  </si>
  <si>
    <t>43 . . . . . . . . . . . . . . . . . . . . . . . . . . . . . . . . . 2 643,26</t>
  </si>
  <si>
    <t>44 . . . . . . . . . . . . . . . . . . . . . . . . . . . . . . . . . 2 694,75</t>
  </si>
  <si>
    <t>45 . . . . . . . . . . . . . . . . . . . . . . . . . . . . . . . . . 2 746,24</t>
  </si>
  <si>
    <t>46 . . . . . . . . . . . . . . . . . . . . . . . . . . . . . . . . . 2 797,73</t>
  </si>
  <si>
    <t>47 . . . . . . . . . . . . . . . . . . . . . . . . . . . . . . . . . 2 849,22</t>
  </si>
  <si>
    <t>48 . . . . . . . . . . . . . . . . . . . . . . . . . . . . . . . . . 2 900,72</t>
  </si>
  <si>
    <t>49 . . . . . . . . . . . . . . . . . . . . . . . . . . . . . . . . . 2 952,21</t>
  </si>
  <si>
    <t>50 . . . . . . . . . . . . . . . . . . . . . . . . . . . . . . . . . 3 003,70</t>
  </si>
  <si>
    <t>51 . . . . . . . . . . . . . . . . . . . . . . . . . . . . . . . . . 3 055,19</t>
  </si>
  <si>
    <t>52 . . . . . . . . . . . . . . . . . . . . . . . . . . . . . . . . . 3 106,68</t>
  </si>
  <si>
    <t>53 . . . . . . . . . . . . . . . . . . . . . . . . . . . . . . . . . 3 158,18</t>
  </si>
  <si>
    <t>54 . . . . . . . . . . . . . . . . . . . . . . . . . . . . . . . . . 3 209,67</t>
  </si>
  <si>
    <t>55 . . . . . . . . . . . . . . . . . . . . . . . . . . . . . . . . . 3 261,16</t>
  </si>
  <si>
    <t>56 . . . . . . . . . . . . . . . . . . . . . . . . . . . . . . . . . 3 312,65</t>
  </si>
  <si>
    <t>57 . . . . . . . . . . . . . . . . . . . . . . . . . . . . . . . . . 3 364,14</t>
  </si>
  <si>
    <t>58 . . . . . . . . . . . . . . . . . . . . . . . . . . . . . . . . . 3 415,64</t>
  </si>
  <si>
    <t>59 . . . . . . . . . . . . . . . . . . . . . . . . . . . . . . . . . 3 467,13</t>
  </si>
  <si>
    <t>60 . . . . . . . . . . . . . . . . . . . . . . . . . . . . . . . . . 3 518,62</t>
  </si>
  <si>
    <t>61 . . . . . . . . . . . . . . . . . . . . . . . . . . . . . . . . . 3 570,11</t>
  </si>
  <si>
    <t>62 . . . . . . . . . . . . . . . . . . . . . . . . . . . . . . . . . 3 621,60</t>
  </si>
  <si>
    <t>63 . . . . . . . . . . . . . . . . . . . . . . . . . . . . . . . . . 3 673,10</t>
  </si>
  <si>
    <t>64 . . . . . . . . . . . . . . . . . . . . . . . . . . . . . . . . . 3 724,59</t>
  </si>
  <si>
    <t>65 . . . . . . . . . . . . . . . . . . . . . . . . . . . . . . . . . 3 776,08</t>
  </si>
  <si>
    <t>66 . . . . . . . . . . . . . . . . . . . . . . . . . . . . . . . . . 3 827,57</t>
  </si>
  <si>
    <t>67 . . . . . . . . . . . . . . . . . . . . . . . . . . . . . . . . . 3 879,06</t>
  </si>
  <si>
    <t>68 . . . . . . . . . . . . . . . . . . . . . . . . . . . . . . . . . 3 930,56</t>
  </si>
  <si>
    <t>69 . . . . . . . . . . . . . . . . . . . . . . . . . . . . . . . . . 3 982,05</t>
  </si>
  <si>
    <t>70 . . . . . . . . . . . . . . . . . . . . . . . . . . . . . . . . . 4 033,54</t>
  </si>
  <si>
    <t>71 . . . . . . . . . . . . . . . . . . . . . . . . . . . . . . . . . 4 085,03</t>
  </si>
  <si>
    <t>72 . . . . . . . . . . . . . . . . . . . . . . . . . . . . . . . . . 4 136,52</t>
  </si>
  <si>
    <t>73 . . . . . . . . . . . . . . . . . . . . . . . . . . . . . . . . . 4 188,02</t>
  </si>
  <si>
    <t>74 . . . . . . . . . . . . . . . . . . . . . . . . . . . . . . . . . 4 239,51</t>
  </si>
  <si>
    <t>75 . . . . . . . . . . . . . . . . . . . . . . . . . . . . . . . . . 4 291</t>
  </si>
  <si>
    <t>76 . . . . . . . . . . . . . . . . . . . . . . . . . . . . . . . . . 4 342,49</t>
  </si>
  <si>
    <t>77 . . . . . . . . . . . . . . . . . . . . . . . . . . . . . . . . . 4 393,98</t>
  </si>
  <si>
    <t>78 . . . . . . . . . . . . . . . . . . . . . . . . . . . . . . . . . 4 445,48</t>
  </si>
  <si>
    <t>79 . . . . . . . . . . . . . . . . . . . . . . . . . . . . . . . . . 4 496,97</t>
  </si>
  <si>
    <t>80 . . . . . . . . . . . . . . . . . . . . . . . . . . . . . . . . . 4 548,46</t>
  </si>
  <si>
    <t>81 . . . . . . . . . . . . . . . . . . . . . . . . . . . . . . . . . 4 599,95</t>
  </si>
  <si>
    <t>82 . . . . . . . . . . . . . . . . . . . . . . . . . . . . . . . . . 4 651,44</t>
  </si>
  <si>
    <t>Cálculo custos com a contratação de Investigadores doutorados:Método de Imputação de Custos Reais</t>
  </si>
  <si>
    <t>Índice</t>
  </si>
  <si>
    <t>Valor 15m</t>
  </si>
  <si>
    <t>Valor 30 m</t>
  </si>
  <si>
    <t>Valor 36 m</t>
  </si>
  <si>
    <t>Valor  18 m</t>
  </si>
  <si>
    <t>Valor  20 m</t>
  </si>
  <si>
    <t>Quadro de investimento total</t>
  </si>
  <si>
    <t>Categoria / Ano</t>
  </si>
  <si>
    <t>Total Investimento/Elegível</t>
  </si>
  <si>
    <t>Missões</t>
  </si>
  <si>
    <t>Aquisição de outros bens e serviços</t>
  </si>
  <si>
    <t>Sub. Férias Vincendas</t>
  </si>
  <si>
    <t>Ferias Vincendas</t>
  </si>
  <si>
    <t>Nome</t>
  </si>
  <si>
    <t>Posição</t>
  </si>
  <si>
    <t>Data de Fim</t>
  </si>
  <si>
    <t>Data de início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</si>
  <si>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</si>
  <si>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Investigador Responsável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</si>
  <si>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Unidade Operacional</t>
    </r>
    <r>
      <rPr>
        <sz val="10"/>
        <rFont val="Arial"/>
        <family val="2"/>
      </rPr>
      <t>:</t>
    </r>
  </si>
  <si>
    <t>Subcontratação</t>
  </si>
  <si>
    <r>
      <rPr>
        <b/>
        <sz val="11"/>
        <color theme="1"/>
        <rFont val="Calibri"/>
        <family val="2"/>
        <scheme val="minor"/>
      </rPr>
      <t>Acrónimo</t>
    </r>
    <r>
      <rPr>
        <sz val="11"/>
        <color theme="1"/>
        <rFont val="Calibri"/>
        <family val="2"/>
        <scheme val="minor"/>
      </rPr>
      <t>:</t>
    </r>
  </si>
  <si>
    <t>RH a contratar</t>
  </si>
  <si>
    <t>RH Bolsas</t>
  </si>
  <si>
    <t>Registo de patentes</t>
  </si>
  <si>
    <t>Adaptação de edifícios e instalações</t>
  </si>
  <si>
    <t>Instrumentos e equipamento científico e técnico</t>
  </si>
  <si>
    <t>Demonstração, promoção e divulgação</t>
  </si>
  <si>
    <t>Total Custos Diretos</t>
  </si>
  <si>
    <t>Custo Publicação</t>
  </si>
  <si>
    <t>Custo Total</t>
  </si>
  <si>
    <t>Direção (OG)</t>
  </si>
  <si>
    <t>Unidade de Exploração (OE)</t>
  </si>
  <si>
    <t>Unidade Operacional (OO)</t>
  </si>
  <si>
    <t>Coordenador (OC)</t>
  </si>
  <si>
    <t xml:space="preserve">BOLSAS </t>
  </si>
  <si>
    <t>Atividades de I&amp;D a realizar por doutorados (BIPD)</t>
  </si>
  <si>
    <t>Atividades de I&amp;D a realizar por estudantes de doutoramento ou por licenciados e mestres inscritos em cursos não conferentes de grau académico (BI)</t>
  </si>
  <si>
    <t>Atividades de I&amp;D a realizar por estudantes de mestrado, mestrado integrado ou por licenciados e mestres inscritos em cursos não conferentes de grau académico (BI)</t>
  </si>
  <si>
    <t>Atividades de iniciação a I&amp;D (BII)</t>
  </si>
  <si>
    <t>Nível remuneratório</t>
  </si>
  <si>
    <t>22 dias uteis em média, variável mensalmente em função dos dias do mês/faltas/férias</t>
  </si>
  <si>
    <t>CATEGORIA</t>
  </si>
  <si>
    <t>POSIÇÃO REMUNERATÓRIA</t>
  </si>
  <si>
    <t>NÍVEL REMUNERATÓRIO DA TABELA ÚNICA</t>
  </si>
  <si>
    <t>VALOR</t>
  </si>
  <si>
    <t>Técnico Superior</t>
  </si>
  <si>
    <t>Cálculo custos com a contratação - Carreira de TÉCNICO SUPERIOR</t>
  </si>
  <si>
    <t>Nível Remuneratório</t>
  </si>
  <si>
    <t>Vencimento base mensal (VB)</t>
  </si>
  <si>
    <t>Nível remuneratório (DL 57/2016)</t>
  </si>
  <si>
    <t>Nível TRU</t>
  </si>
  <si>
    <t>1 e 2</t>
  </si>
  <si>
    <t xml:space="preserve">2 dias por cada mês de trabalho completo, até ao limite de  22 dias </t>
  </si>
  <si>
    <t>1/12 vencimento base</t>
  </si>
  <si>
    <t>18 dias por cada ano de trabalho completo (vencimento*nº dias/30)</t>
  </si>
  <si>
    <t xml:space="preserve">Variável em função da data de início e fim de contrato, máximo 22 dias </t>
  </si>
  <si>
    <t>FGCT = 0,075% + FCT = 0,925%</t>
  </si>
  <si>
    <t>Caducidade</t>
  </si>
  <si>
    <t>Taxa Social Única/Segurança Social</t>
  </si>
  <si>
    <t>Seguro Acidentes Trabalho (Ano)</t>
  </si>
  <si>
    <t>Publicação em jornal nacional</t>
  </si>
  <si>
    <t xml:space="preserve">Custo Publicação </t>
  </si>
  <si>
    <t>Despesas com recursos humanos dedicados ou associados ao desenvolvimento de atividades de I&amp;D relacionados com a  execução do projeto, em todas as componentes obrigatórias pela legislação laboral aplicável, incluindo encargos com bolseiros diretamente suportados pelos beneficiários.</t>
  </si>
  <si>
    <t>A atribuição de bolsas no âmbito dos projetos são objeto de concurso e contratualização por parte das entidades beneficiárias, nos termos do previsto no Estatuto do Bolseiro de Investigação (Lei n.º 40/2004, de 18 de agosto, na sua redação atual) e do Regulamento de Bolsas de Investigação da FCT.</t>
  </si>
  <si>
    <t>Subcontratos diretamente relacionados com a execução de tarefas científicas do projeto.</t>
  </si>
  <si>
    <t>Despesas associadas ao registo nacional e estrangeiro de patentes, direitos de autor, modelos de utilidade e desenhos, modelos nacionais ou marcas, quando associadas às outras formas de proteção intelectual, designadamente, taxas, pesquisas ao estado da técnica e despesas de consultoria.</t>
  </si>
  <si>
    <t>Aquisição de outros bens e serviços relacionados diretamente com a execução do projeto, incluindo os custos de consultores que não configurem subcontratos.</t>
  </si>
  <si>
    <t>FORMULÁRIO PARA CÁLCULO DE ORÇAMENTO (IST-ID)</t>
  </si>
  <si>
    <t>Despesas com missões no país e no estrangeiro diretamente imputáveis ao projeto, cumpridos os normativos legais que regulam a realização de despesas públicas, em particular o Decreto-Lei nº 106/98 de 24 de abril e o Decreto-Lei nº 192/95 de 28 de julho, nas suas redações em vigor.</t>
  </si>
  <si>
    <t>Duração mínima de três meses, podendo ser renovadas até ao prazo máximo de um ano.</t>
  </si>
  <si>
    <t>A duração da BI é, em regra, anual, não podendo ser concedida por períodos inferiores a três meses consecutivos. Podem ser renovadas por períodos adicionais, até atingirem: a) Um ano, quando a bolsa tenha sido atribuída a licenciados ou mestres que se encontrem inscritos em ciclos de estudo não conferentes de grau académico; b) Dois anos, quando a bolsa tenha sido atribuída a estudante inscrito em mestrado; c) Quatro anos, quando a bolsa tenha sido atribuída a estudante inscrito em doutoramento</t>
  </si>
  <si>
    <t>A duração da BIPD é, em regra, anual, não podendo ser concedida por períodos inferiores a três meses consecutivos, sendo renovável até ao prazo máximo de três anos.</t>
  </si>
  <si>
    <r>
      <t xml:space="preserve">Nota: o montante correspondente a cada nível remuneratório, pode ser consultado no separador </t>
    </r>
    <r>
      <rPr>
        <b/>
        <sz val="9"/>
        <rFont val="Arial"/>
        <family val="2"/>
      </rPr>
      <t>Nível Remuneratório</t>
    </r>
    <r>
      <rPr>
        <sz val="9"/>
        <rFont val="Arial"/>
        <family val="2"/>
      </rPr>
      <t xml:space="preserve"> (a célula referente ao vencimento base mensal deve ser alterada de acordo com o nível remuneratório aplicável)</t>
    </r>
  </si>
  <si>
    <t>Colocar, de acordo com o tipo de bolsa, o montante correspondente à duração do contrato na rúbrica RH Bolsas (RESUMO ORÇAMENTO)</t>
  </si>
  <si>
    <t>Preencher Venc. base mens.</t>
  </si>
  <si>
    <t>Campos a Preencher</t>
  </si>
  <si>
    <t>valor variável consoante o valor do vencimento base</t>
  </si>
  <si>
    <t>Subsídio Férias Vincendas</t>
  </si>
  <si>
    <t>Férias Vincendas</t>
  </si>
  <si>
    <t>entre o nível 33 e 53</t>
  </si>
  <si>
    <t>Valor  24 m</t>
  </si>
  <si>
    <t>Valor 24 m</t>
  </si>
  <si>
    <t>Concurso:</t>
  </si>
  <si>
    <t>Tipologia/Referência da Candidatura:</t>
  </si>
  <si>
    <t>Instituição</t>
  </si>
  <si>
    <t>Categoria/Vínculo (1)</t>
  </si>
  <si>
    <t>Cobrança interna de Overheads (taxas a aplicar)*</t>
  </si>
  <si>
    <t>* Refere-se às taxas de overheads aplicadas ao valor financiado, na instituição (IST-ID)</t>
  </si>
  <si>
    <t>Despesas com a demonstração, promoção e divulgação dos resultados do projeto, para ações de disseminação do conhecimento produzido e divulgação pública dos resultados, nomeadamente taxas de publicação no cumprimento e de acordo com as políticas nacionais de acesso aberto. Inclui o custo de missões referentes a divulgação de resultados.</t>
  </si>
  <si>
    <t>(1) Indicar a categoria: docente, investigador, bolseiro</t>
  </si>
  <si>
    <t>Entidade Proponente:</t>
  </si>
  <si>
    <t>Descrição das despesas</t>
  </si>
  <si>
    <t xml:space="preserve">Taxa Social Única/Segurança Social </t>
  </si>
  <si>
    <t>SSV + Seguro Ac. Pessoais [Estimativa*]</t>
  </si>
  <si>
    <t>Duração* (meses)</t>
  </si>
  <si>
    <t>TSU (23,75%)- mensal</t>
  </si>
  <si>
    <t>TSU (23,75%)- mensal/Não elegível</t>
  </si>
  <si>
    <t>TRU
2021</t>
  </si>
  <si>
    <t>TRU
2023</t>
  </si>
  <si>
    <t xml:space="preserve">Disponivel para consulta na seguinte página: https://www.fct.pt/wp-content/uploads/2023/02/Tabela-de-Valores-SMM_2023.pdf </t>
  </si>
  <si>
    <t>016</t>
  </si>
  <si>
    <t>Previsão custo 2025</t>
  </si>
  <si>
    <t>Previsão custo 2026</t>
  </si>
  <si>
    <t>Cálculo(a)</t>
  </si>
  <si>
    <t>a) calcular o valor total da tipologia pelo nº de meses pretendido</t>
  </si>
  <si>
    <t>Previsão custo 2027</t>
  </si>
  <si>
    <t>Valor mensal [tab regulada FCT*]</t>
  </si>
  <si>
    <t>SSV + Seguro Ac. Pessoais *</t>
  </si>
  <si>
    <t>TRU 2024</t>
  </si>
  <si>
    <t>Nº bolseiros</t>
  </si>
  <si>
    <t>Nº meses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</si>
  <si>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Escolher o número de meses em cada ano de contrato e número total de bolseiros</t>
    </r>
  </si>
  <si>
    <t>* Estimativas inflacionadas para assegurar eventuais aumentos da tabela em vigor:</t>
  </si>
  <si>
    <t>NOTA: FORMULÁRIO EXCLUSIVO PARA PROJETOS EXPLORATÓRIOS 2023</t>
  </si>
  <si>
    <t>FCT Concurso de Projetos Exploratórios em todos os Domínios Científicos (https://www.fct.pt/concursos/concurso-de-projetos-exploratorios-em-todos-os-dominios-cientificos-2023)</t>
  </si>
  <si>
    <t>Pex</t>
  </si>
  <si>
    <t>Instituições de Colaboração:</t>
  </si>
  <si>
    <t>Os orçamentos deverão ser enviados para dprojetos@tecnico.ulisboa.pt para validação, até dia 23/02/2024. A Instituição Proponente não aceitará candidaturas não validadas pelos serviços</t>
  </si>
  <si>
    <t>* Os projetos de investigação de carácter exploratório (PeX)  terão uma duração máxima de 18 meses prorrogável, no máximo, por mais 6 meses, em casos devidamente justificados.</t>
  </si>
  <si>
    <t>EQUIPA DE INVESTIGAÇÃO</t>
  </si>
  <si>
    <t>Investigador Responsável *</t>
  </si>
  <si>
    <t>Elemento 1**</t>
  </si>
  <si>
    <t>Elemento 2**</t>
  </si>
  <si>
    <t>Elemento 3**</t>
  </si>
  <si>
    <t>Elemento 4**</t>
  </si>
  <si>
    <t>* pode submeter no máximo 1 candidatura na qualidade de IR e em mais uma candidatura, como membro, no conjunto do presente concurso</t>
  </si>
  <si>
    <t>** os membros que não sejam IR's de candidaturas podem participar em mais 3 candidaturas no conjunto do presente concurso</t>
  </si>
  <si>
    <t>Adaptação de edifícios e instalações quando imprescindíveis à realização do projeto   nomeadamente por questões ambientais e de segurança, limitadas a um máximo de 10% das  despesas elegíveis totais do projeto.</t>
  </si>
  <si>
    <t>Custos Indiretos financiados (25%)</t>
  </si>
  <si>
    <t>Custos indiretos, calculados com base em custos simplificados, assentes na aplicação da taxa fixa de 25% dos custos elegíveis diretos, com exclusão da subcontratação.</t>
  </si>
  <si>
    <r>
      <t>O limite máximo de financiamento por projeto é de</t>
    </r>
    <r>
      <rPr>
        <b/>
        <sz val="9"/>
        <rFont val="Arial"/>
        <family val="2"/>
      </rPr>
      <t xml:space="preserve"> 50 mil euros, para os projetos de investigação de carácter exploratório (PeX).</t>
    </r>
  </si>
  <si>
    <t xml:space="preserve">Aquisição de instrumentos e equipamento técnico-científico e software específico, comprovadamente necessário à realização do projeto a que estão alocados.
</t>
  </si>
  <si>
    <t xml:space="preserve">Nota: na aquisição de equipamentos, instrumentos e reagentes, aquisição de consumíveis e licenças no âmbito da atividade investigação e desenvolvimento utilizados em actividades de I&amp;D o IVA será restituído pela AT, deixando de constituir um custo para o projecto, e como tal não deve ser incluído no orçamento.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</si>
</sst>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%"/>
    <numFmt numFmtId="165" formatCode="00"/>
    <numFmt numFmtId="166" formatCode="&quot;€&quot;\ #,##0.00"/>
    <numFmt numFmtId="167" formatCode="0.0%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0" fontId="7" fillId="0" borderId="0"/>
    <xf numFmtId="0" fontId="8" fillId="0" borderId="18" applyNumberFormat="0" applyFill="0" applyAlignment="0" applyProtection="0"/>
    <xf numFmtId="0" fontId="5" fillId="9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25" fillId="0" borderId="0"/>
    <xf numFmtId="44" fontId="25" fillId="0" borderId="0" applyFont="0" applyFill="0" applyBorder="0" applyAlignment="0" applyProtection="0"/>
    <xf numFmtId="0" fontId="3" fillId="0" borderId="0"/>
    <xf numFmtId="0" fontId="3" fillId="9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22">
    <xf numFmtId="0" fontId="0" fillId="0" borderId="0" xfId="0"/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/>
    <xf numFmtId="0" fontId="8" fillId="3" borderId="2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Alignment="1">
      <alignment vertical="center"/>
    </xf>
    <xf numFmtId="4" fontId="0" fillId="0" borderId="13" xfId="0" applyNumberFormat="1" applyBorder="1" applyAlignment="1">
      <alignment horizontal="left"/>
    </xf>
    <xf numFmtId="0" fontId="0" fillId="0" borderId="13" xfId="0" applyBorder="1"/>
    <xf numFmtId="0" fontId="0" fillId="0" borderId="12" xfId="0" applyBorder="1"/>
    <xf numFmtId="10" fontId="0" fillId="2" borderId="13" xfId="0" applyNumberFormat="1" applyFill="1" applyBorder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3" applyFill="1" applyBorder="1" applyAlignment="1"/>
    <xf numFmtId="0" fontId="0" fillId="0" borderId="0" xfId="3" applyFont="1" applyFill="1" applyBorder="1" applyAlignment="1"/>
    <xf numFmtId="0" fontId="5" fillId="0" borderId="0" xfId="4"/>
    <xf numFmtId="0" fontId="5" fillId="2" borderId="0" xfId="4" applyFill="1" applyProtection="1"/>
    <xf numFmtId="44" fontId="5" fillId="2" borderId="0" xfId="4" applyNumberFormat="1" applyFill="1" applyProtection="1"/>
    <xf numFmtId="44" fontId="18" fillId="6" borderId="0" xfId="4" applyNumberFormat="1" applyFont="1" applyFill="1" applyBorder="1" applyAlignment="1" applyProtection="1">
      <alignment vertical="center"/>
    </xf>
    <xf numFmtId="0" fontId="18" fillId="6" borderId="0" xfId="4" applyFont="1" applyFill="1" applyBorder="1" applyAlignment="1" applyProtection="1">
      <alignment vertical="center"/>
    </xf>
    <xf numFmtId="0" fontId="5" fillId="2" borderId="0" xfId="4" applyFill="1" applyBorder="1" applyProtection="1"/>
    <xf numFmtId="0" fontId="15" fillId="2" borderId="0" xfId="4" applyFont="1" applyFill="1" applyProtection="1"/>
    <xf numFmtId="44" fontId="16" fillId="2" borderId="0" xfId="4" applyNumberFormat="1" applyFont="1" applyFill="1" applyBorder="1" applyAlignment="1" applyProtection="1">
      <alignment vertical="center"/>
    </xf>
    <xf numFmtId="0" fontId="5" fillId="2" borderId="0" xfId="4" applyFill="1" applyBorder="1" applyAlignment="1" applyProtection="1">
      <alignment horizontal="right" vertical="center"/>
    </xf>
    <xf numFmtId="164" fontId="5" fillId="2" borderId="0" xfId="4" applyNumberFormat="1" applyFill="1" applyBorder="1" applyAlignment="1" applyProtection="1">
      <alignment vertical="center"/>
    </xf>
    <xf numFmtId="0" fontId="5" fillId="2" borderId="0" xfId="4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44" fontId="17" fillId="2" borderId="0" xfId="4" applyNumberFormat="1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vertical="center"/>
    </xf>
    <xf numFmtId="44" fontId="16" fillId="2" borderId="5" xfId="4" applyNumberFormat="1" applyFont="1" applyFill="1" applyBorder="1" applyAlignment="1" applyProtection="1">
      <alignment vertical="center"/>
    </xf>
    <xf numFmtId="0" fontId="5" fillId="2" borderId="9" xfId="4" applyFill="1" applyBorder="1" applyAlignment="1" applyProtection="1">
      <alignment horizontal="right" vertical="center"/>
    </xf>
    <xf numFmtId="164" fontId="5" fillId="2" borderId="9" xfId="4" applyNumberFormat="1" applyFill="1" applyBorder="1" applyAlignment="1" applyProtection="1">
      <alignment vertical="center"/>
    </xf>
    <xf numFmtId="0" fontId="5" fillId="2" borderId="9" xfId="4" applyFill="1" applyBorder="1" applyAlignment="1" applyProtection="1">
      <alignment vertical="center"/>
    </xf>
    <xf numFmtId="0" fontId="8" fillId="2" borderId="8" xfId="4" applyFont="1" applyFill="1" applyBorder="1" applyAlignment="1" applyProtection="1">
      <alignment vertical="center"/>
    </xf>
    <xf numFmtId="44" fontId="14" fillId="2" borderId="5" xfId="4" applyNumberFormat="1" applyFont="1" applyFill="1" applyBorder="1" applyAlignment="1" applyProtection="1">
      <alignment vertical="center"/>
    </xf>
    <xf numFmtId="0" fontId="5" fillId="2" borderId="0" xfId="4" applyFill="1" applyAlignment="1" applyProtection="1">
      <alignment vertical="center"/>
    </xf>
    <xf numFmtId="44" fontId="5" fillId="2" borderId="3" xfId="4" applyNumberFormat="1" applyFill="1" applyBorder="1" applyAlignment="1" applyProtection="1">
      <alignment vertical="center"/>
    </xf>
    <xf numFmtId="0" fontId="5" fillId="2" borderId="7" xfId="4" applyFill="1" applyBorder="1" applyAlignment="1" applyProtection="1">
      <alignment vertical="center"/>
    </xf>
    <xf numFmtId="44" fontId="14" fillId="2" borderId="3" xfId="4" applyNumberFormat="1" applyFont="1" applyFill="1" applyBorder="1" applyAlignment="1" applyProtection="1">
      <alignment vertical="center"/>
    </xf>
    <xf numFmtId="0" fontId="8" fillId="2" borderId="7" xfId="4" applyFont="1" applyFill="1" applyBorder="1" applyAlignment="1" applyProtection="1">
      <alignment vertical="center"/>
    </xf>
    <xf numFmtId="0" fontId="8" fillId="2" borderId="3" xfId="4" applyFont="1" applyFill="1" applyBorder="1" applyAlignment="1" applyProtection="1">
      <alignment horizontal="center"/>
    </xf>
    <xf numFmtId="0" fontId="5" fillId="2" borderId="7" xfId="4" applyFill="1" applyBorder="1" applyProtection="1"/>
    <xf numFmtId="44" fontId="13" fillId="2" borderId="3" xfId="4" applyNumberFormat="1" applyFont="1" applyFill="1" applyBorder="1" applyAlignment="1" applyProtection="1">
      <alignment vertical="center"/>
      <protection locked="0"/>
    </xf>
    <xf numFmtId="0" fontId="12" fillId="2" borderId="4" xfId="4" applyFont="1" applyFill="1" applyBorder="1" applyAlignment="1" applyProtection="1"/>
    <xf numFmtId="0" fontId="12" fillId="2" borderId="6" xfId="4" applyFont="1" applyFill="1" applyBorder="1" applyAlignment="1" applyProtection="1"/>
    <xf numFmtId="0" fontId="0" fillId="0" borderId="12" xfId="0" applyFill="1" applyBorder="1"/>
    <xf numFmtId="0" fontId="8" fillId="10" borderId="16" xfId="0" applyFont="1" applyFill="1" applyBorder="1"/>
    <xf numFmtId="0" fontId="8" fillId="10" borderId="10" xfId="0" applyFont="1" applyFill="1" applyBorder="1"/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8" fillId="10" borderId="1" xfId="3" applyFont="1" applyFill="1" applyBorder="1" applyAlignment="1"/>
    <xf numFmtId="0" fontId="8" fillId="10" borderId="1" xfId="3" applyFont="1" applyFill="1" applyBorder="1" applyAlignment="1">
      <alignment horizontal="center"/>
    </xf>
    <xf numFmtId="0" fontId="8" fillId="10" borderId="1" xfId="3" applyFont="1" applyFill="1" applyBorder="1" applyAlignment="1">
      <alignment horizontal="center" wrapText="1"/>
    </xf>
    <xf numFmtId="0" fontId="8" fillId="0" borderId="18" xfId="2"/>
    <xf numFmtId="9" fontId="8" fillId="0" borderId="18" xfId="2" applyNumberFormat="1" applyAlignment="1">
      <alignment horizontal="center"/>
    </xf>
    <xf numFmtId="0" fontId="0" fillId="0" borderId="2" xfId="0" applyBorder="1" applyAlignment="1">
      <alignment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6" fontId="26" fillId="0" borderId="0" xfId="0" applyNumberFormat="1" applyFont="1" applyFill="1" applyBorder="1" applyAlignment="1">
      <alignment horizontal="right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30" xfId="0" applyNumberFormat="1" applyFont="1" applyFill="1" applyBorder="1" applyAlignment="1">
      <alignment horizontal="center" vertical="center" wrapText="1"/>
    </xf>
    <xf numFmtId="165" fontId="25" fillId="0" borderId="3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/>
    <xf numFmtId="0" fontId="0" fillId="4" borderId="12" xfId="0" applyFill="1" applyBorder="1"/>
    <xf numFmtId="4" fontId="0" fillId="4" borderId="13" xfId="0" applyNumberFormat="1" applyFill="1" applyBorder="1"/>
    <xf numFmtId="0" fontId="0" fillId="4" borderId="13" xfId="0" applyFill="1" applyBorder="1"/>
    <xf numFmtId="0" fontId="0" fillId="0" borderId="34" xfId="0" applyFill="1" applyBorder="1"/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10" borderId="21" xfId="3" applyFill="1" applyBorder="1" applyAlignment="1"/>
    <xf numFmtId="0" fontId="0" fillId="10" borderId="21" xfId="3" applyFont="1" applyFill="1" applyBorder="1" applyAlignment="1"/>
    <xf numFmtId="0" fontId="0" fillId="2" borderId="0" xfId="3" applyFont="1" applyFill="1" applyBorder="1" applyAlignment="1"/>
    <xf numFmtId="0" fontId="5" fillId="2" borderId="0" xfId="3" applyFill="1" applyBorder="1" applyAlignment="1"/>
    <xf numFmtId="0" fontId="5" fillId="2" borderId="0" xfId="4" applyFill="1"/>
    <xf numFmtId="44" fontId="0" fillId="0" borderId="13" xfId="9" applyFont="1" applyBorder="1"/>
    <xf numFmtId="44" fontId="0" fillId="0" borderId="13" xfId="9" applyFont="1" applyFill="1" applyBorder="1"/>
    <xf numFmtId="44" fontId="0" fillId="0" borderId="14" xfId="9" applyFont="1" applyBorder="1"/>
    <xf numFmtId="44" fontId="0" fillId="4" borderId="13" xfId="9" applyFont="1" applyFill="1" applyBorder="1"/>
    <xf numFmtId="44" fontId="0" fillId="4" borderId="14" xfId="9" applyFont="1" applyFill="1" applyBorder="1"/>
    <xf numFmtId="44" fontId="0" fillId="2" borderId="13" xfId="9" applyFont="1" applyFill="1" applyBorder="1"/>
    <xf numFmtId="44" fontId="6" fillId="10" borderId="15" xfId="9" applyFont="1" applyFill="1" applyBorder="1"/>
    <xf numFmtId="44" fontId="0" fillId="0" borderId="0" xfId="0" applyNumberFormat="1"/>
    <xf numFmtId="0" fontId="0" fillId="0" borderId="0" xfId="0" applyAlignment="1">
      <alignment horizontal="right"/>
    </xf>
    <xf numFmtId="0" fontId="30" fillId="0" borderId="0" xfId="0" applyFont="1" applyBorder="1" applyAlignment="1">
      <alignment vertical="center" wrapText="1"/>
    </xf>
    <xf numFmtId="0" fontId="5" fillId="0" borderId="0" xfId="4" applyBorder="1"/>
    <xf numFmtId="44" fontId="8" fillId="12" borderId="1" xfId="9" applyFont="1" applyFill="1" applyBorder="1" applyAlignment="1">
      <alignment horizontal="center"/>
    </xf>
    <xf numFmtId="14" fontId="8" fillId="12" borderId="1" xfId="4" applyNumberFormat="1" applyFont="1" applyFill="1" applyBorder="1" applyAlignment="1">
      <alignment horizontal="center"/>
    </xf>
    <xf numFmtId="1" fontId="8" fillId="12" borderId="1" xfId="4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9" fillId="4" borderId="12" xfId="0" applyFont="1" applyFill="1" applyBorder="1"/>
    <xf numFmtId="44" fontId="9" fillId="4" borderId="13" xfId="9" applyFont="1" applyFill="1" applyBorder="1"/>
    <xf numFmtId="4" fontId="8" fillId="4" borderId="0" xfId="0" applyNumberFormat="1" applyFont="1" applyFill="1" applyAlignment="1">
      <alignment horizontal="center" vertical="center" wrapText="1"/>
    </xf>
    <xf numFmtId="4" fontId="0" fillId="4" borderId="0" xfId="0" applyNumberFormat="1" applyFill="1"/>
    <xf numFmtId="0" fontId="8" fillId="10" borderId="21" xfId="3" applyFont="1" applyFill="1" applyBorder="1" applyAlignment="1"/>
    <xf numFmtId="0" fontId="6" fillId="10" borderId="21" xfId="3" applyFont="1" applyFill="1" applyBorder="1" applyAlignment="1"/>
    <xf numFmtId="0" fontId="6" fillId="0" borderId="0" xfId="3" applyFont="1" applyFill="1" applyBorder="1" applyAlignment="1"/>
    <xf numFmtId="0" fontId="8" fillId="0" borderId="0" xfId="2" applyFill="1" applyBorder="1"/>
    <xf numFmtId="0" fontId="8" fillId="0" borderId="0" xfId="4" applyFont="1" applyAlignment="1">
      <alignment horizontal="left"/>
    </xf>
    <xf numFmtId="0" fontId="0" fillId="0" borderId="0" xfId="0" applyFill="1"/>
    <xf numFmtId="4" fontId="19" fillId="11" borderId="39" xfId="0" applyNumberFormat="1" applyFont="1" applyFill="1" applyBorder="1" applyAlignment="1">
      <alignment vertical="center"/>
    </xf>
    <xf numFmtId="10" fontId="0" fillId="4" borderId="13" xfId="0" applyNumberFormat="1" applyFill="1" applyBorder="1"/>
    <xf numFmtId="44" fontId="0" fillId="4" borderId="12" xfId="0" applyNumberFormat="1" applyFill="1" applyBorder="1"/>
    <xf numFmtId="0" fontId="0" fillId="0" borderId="0" xfId="0" applyFill="1" applyBorder="1" applyAlignment="1">
      <alignment wrapText="1"/>
    </xf>
    <xf numFmtId="44" fontId="25" fillId="0" borderId="13" xfId="9" applyFont="1" applyBorder="1"/>
    <xf numFmtId="0" fontId="0" fillId="0" borderId="32" xfId="0" quotePrefix="1" applyFont="1" applyFill="1" applyBorder="1" applyAlignment="1">
      <alignment horizontal="center" vertical="center"/>
    </xf>
    <xf numFmtId="166" fontId="26" fillId="0" borderId="33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/>
    <xf numFmtId="0" fontId="0" fillId="13" borderId="0" xfId="0" applyFill="1"/>
    <xf numFmtId="0" fontId="0" fillId="0" borderId="0" xfId="0" applyBorder="1" applyAlignment="1">
      <alignment horizontal="center"/>
    </xf>
    <xf numFmtId="4" fontId="0" fillId="0" borderId="42" xfId="0" applyNumberFormat="1" applyFill="1" applyBorder="1"/>
    <xf numFmtId="9" fontId="0" fillId="0" borderId="0" xfId="0" applyNumberFormat="1"/>
    <xf numFmtId="0" fontId="0" fillId="14" borderId="44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44" fontId="0" fillId="0" borderId="17" xfId="9" applyFont="1" applyBorder="1"/>
    <xf numFmtId="44" fontId="0" fillId="0" borderId="0" xfId="9" applyFont="1" applyBorder="1"/>
    <xf numFmtId="0" fontId="8" fillId="0" borderId="0" xfId="4" applyFont="1" applyAlignment="1">
      <alignment horizontal="center"/>
    </xf>
    <xf numFmtId="0" fontId="0" fillId="0" borderId="0" xfId="0" applyAlignment="1">
      <alignment horizontal="left" wrapText="1"/>
    </xf>
    <xf numFmtId="14" fontId="8" fillId="0" borderId="0" xfId="4" applyNumberFormat="1" applyFont="1" applyAlignment="1">
      <alignment horizontal="center"/>
    </xf>
    <xf numFmtId="14" fontId="8" fillId="0" borderId="1" xfId="4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6" fillId="0" borderId="0" xfId="0" applyFont="1"/>
    <xf numFmtId="0" fontId="2" fillId="10" borderId="1" xfId="3" applyFont="1" applyFill="1" applyBorder="1" applyAlignment="1"/>
    <xf numFmtId="0" fontId="2" fillId="0" borderId="0" xfId="4" applyFont="1"/>
    <xf numFmtId="0" fontId="6" fillId="0" borderId="0" xfId="0" applyFont="1" applyAlignment="1">
      <alignment vertical="center"/>
    </xf>
    <xf numFmtId="44" fontId="2" fillId="12" borderId="1" xfId="9" applyFont="1" applyFill="1" applyBorder="1" applyAlignment="1">
      <alignment horizontal="center" wrapText="1"/>
    </xf>
    <xf numFmtId="4" fontId="34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8" fillId="0" borderId="25" xfId="0" applyFont="1" applyBorder="1" applyAlignment="1">
      <alignment vertical="center"/>
    </xf>
    <xf numFmtId="167" fontId="2" fillId="0" borderId="18" xfId="2" applyNumberFormat="1" applyFont="1" applyAlignment="1">
      <alignment horizontal="center"/>
    </xf>
    <xf numFmtId="0" fontId="0" fillId="0" borderId="0" xfId="0"/>
    <xf numFmtId="0" fontId="8" fillId="12" borderId="0" xfId="4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/>
    <xf numFmtId="14" fontId="8" fillId="12" borderId="2" xfId="4" applyNumberFormat="1" applyFont="1" applyFill="1" applyBorder="1" applyAlignment="1">
      <alignment horizontal="center"/>
    </xf>
    <xf numFmtId="14" fontId="8" fillId="12" borderId="19" xfId="4" applyNumberFormat="1" applyFont="1" applyFill="1" applyBorder="1" applyAlignment="1">
      <alignment horizontal="center"/>
    </xf>
    <xf numFmtId="14" fontId="8" fillId="12" borderId="20" xfId="4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4" applyFont="1" applyAlignment="1">
      <alignment horizontal="center"/>
    </xf>
    <xf numFmtId="0" fontId="8" fillId="12" borderId="0" xfId="4" applyFont="1" applyFill="1" applyAlignment="1">
      <alignment horizontal="center" wrapText="1"/>
    </xf>
    <xf numFmtId="14" fontId="8" fillId="12" borderId="2" xfId="4" applyNumberFormat="1" applyFont="1" applyFill="1" applyBorder="1" applyAlignment="1">
      <alignment horizontal="center" wrapText="1"/>
    </xf>
    <xf numFmtId="14" fontId="8" fillId="12" borderId="19" xfId="4" applyNumberFormat="1" applyFont="1" applyFill="1" applyBorder="1" applyAlignment="1">
      <alignment horizontal="center" wrapText="1"/>
    </xf>
    <xf numFmtId="14" fontId="8" fillId="12" borderId="20" xfId="4" applyNumberFormat="1" applyFont="1" applyFill="1" applyBorder="1" applyAlignment="1">
      <alignment horizontal="center" wrapText="1"/>
    </xf>
    <xf numFmtId="0" fontId="35" fillId="0" borderId="9" xfId="4" applyFont="1" applyBorder="1" applyAlignment="1">
      <alignment horizontal="center"/>
    </xf>
    <xf numFmtId="0" fontId="6" fillId="10" borderId="1" xfId="3" applyFont="1" applyFill="1" applyBorder="1" applyAlignment="1">
      <alignment horizontal="center"/>
    </xf>
    <xf numFmtId="0" fontId="6" fillId="5" borderId="0" xfId="0" applyFont="1" applyFill="1" applyAlignment="1">
      <alignment wrapText="1"/>
    </xf>
    <xf numFmtId="0" fontId="8" fillId="0" borderId="0" xfId="3" applyFont="1" applyFill="1" applyBorder="1" applyAlignment="1">
      <alignment horizontal="center"/>
    </xf>
    <xf numFmtId="0" fontId="28" fillId="0" borderId="39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8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0" fontId="28" fillId="0" borderId="37" xfId="0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8" fillId="0" borderId="36" xfId="0" applyFont="1" applyBorder="1" applyAlignment="1">
      <alignment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8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10" fillId="0" borderId="0" xfId="0" applyFont="1" applyAlignment="1">
      <alignment horizontal="center"/>
    </xf>
    <xf numFmtId="0" fontId="8" fillId="12" borderId="0" xfId="4" applyFont="1" applyFill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8" borderId="17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horizontal="left" vertical="center" wrapText="1"/>
    </xf>
    <xf numFmtId="4" fontId="0" fillId="14" borderId="43" xfId="0" applyNumberFormat="1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20" fillId="2" borderId="0" xfId="4" applyFont="1" applyFill="1" applyBorder="1" applyAlignment="1" applyProtection="1">
      <alignment horizontal="center" vertical="center"/>
    </xf>
    <xf numFmtId="0" fontId="12" fillId="2" borderId="6" xfId="4" applyFont="1" applyFill="1" applyBorder="1" applyAlignment="1" applyProtection="1">
      <alignment horizontal="center"/>
    </xf>
    <xf numFmtId="0" fontId="12" fillId="2" borderId="17" xfId="4" applyFont="1" applyFill="1" applyBorder="1" applyAlignment="1" applyProtection="1">
      <alignment horizontal="center"/>
    </xf>
    <xf numFmtId="0" fontId="12" fillId="2" borderId="4" xfId="4" applyFont="1" applyFill="1" applyBorder="1" applyAlignment="1" applyProtection="1">
      <alignment horizontal="center"/>
    </xf>
    <xf numFmtId="0" fontId="12" fillId="2" borderId="7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center"/>
    </xf>
    <xf numFmtId="0" fontId="12" fillId="2" borderId="3" xfId="4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6">
    <cellStyle name="20% - Accent1 2" xfId="11" xr:uid="{00000000-0005-0000-0000-000001000000}"/>
    <cellStyle name="20% - Cor1" xfId="3" builtinId="30"/>
    <cellStyle name="Currency 2" xfId="5" xr:uid="{00000000-0005-0000-0000-000003000000}"/>
    <cellStyle name="Currency 2 2" xfId="13" xr:uid="{00000000-0005-0000-0000-000004000000}"/>
    <cellStyle name="Moeda" xfId="9" builtinId="4"/>
    <cellStyle name="Normal" xfId="0" builtinId="0"/>
    <cellStyle name="Normal 2" xfId="1" xr:uid="{00000000-0005-0000-0000-000007000000}"/>
    <cellStyle name="Normal 2 2" xfId="8" xr:uid="{00000000-0005-0000-0000-000008000000}"/>
    <cellStyle name="Normal 2 3" xfId="10" xr:uid="{00000000-0005-0000-0000-000009000000}"/>
    <cellStyle name="Normal 3" xfId="4" xr:uid="{00000000-0005-0000-0000-00000A000000}"/>
    <cellStyle name="Normal 3 2" xfId="12" xr:uid="{00000000-0005-0000-0000-00000B000000}"/>
    <cellStyle name="Normal 4" xfId="7" xr:uid="{00000000-0005-0000-0000-00000C000000}"/>
    <cellStyle name="Normal 4 2" xfId="15" xr:uid="{00000000-0005-0000-0000-00000D000000}"/>
    <cellStyle name="Percent 2" xfId="6" xr:uid="{00000000-0005-0000-0000-00000E000000}"/>
    <cellStyle name="Percent 2 2" xfId="14" xr:uid="{00000000-0005-0000-0000-00000F000000}"/>
    <cellStyle name="Total" xfId="2" builtinId="25"/>
  </cellStyles>
  <dxfs count="4"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171450</xdr:rowOff>
    </xdr:to>
    <xdr:pic>
      <xdr:nvPicPr>
        <xdr:cNvPr id="3" name="Picture 2" descr="W:\NPC\IST-id\LOGO IST-ID\logo_IST-I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5700" cy="908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276225</xdr:colOff>
      <xdr:row>60</xdr:row>
      <xdr:rowOff>9525</xdr:rowOff>
    </xdr:from>
    <xdr:to>
      <xdr:col>5</xdr:col>
      <xdr:colOff>1283127</xdr:colOff>
      <xdr:row>65</xdr:row>
      <xdr:rowOff>171311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1591925"/>
          <a:ext cx="6742857" cy="1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1748790</xdr:colOff>
      <xdr:row>5</xdr:row>
      <xdr:rowOff>95250</xdr:rowOff>
    </xdr:to>
    <xdr:pic>
      <xdr:nvPicPr>
        <xdr:cNvPr id="5" name="Picture 2" descr="W:\NPC\IST-id\LOGO IST-ID\logo_IST-ID.png">
          <a:extLst>
            <a:ext uri="{FF2B5EF4-FFF2-40B4-BE49-F238E27FC236}">
              <a16:creationId xmlns:a16="http://schemas.microsoft.com/office/drawing/2014/main" id="{6612BB82-7EC6-4879-AECF-122EA7281E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649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276225</xdr:colOff>
      <xdr:row>61</xdr:row>
      <xdr:rowOff>9525</xdr:rowOff>
    </xdr:from>
    <xdr:to>
      <xdr:col>5</xdr:col>
      <xdr:colOff>1275507</xdr:colOff>
      <xdr:row>66</xdr:row>
      <xdr:rowOff>171311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32B8245F-7131-4622-ADE4-9E357D596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1081385"/>
          <a:ext cx="6881922" cy="1076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749300</xdr:colOff>
      <xdr:row>49</xdr:row>
      <xdr:rowOff>23106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8E19BC-6515-4345-A3FC-8729BEEC8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74945"/>
          <a:ext cx="6022340" cy="5548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2</xdr:row>
      <xdr:rowOff>19050</xdr:rowOff>
    </xdr:from>
    <xdr:to>
      <xdr:col>17</xdr:col>
      <xdr:colOff>37681</xdr:colOff>
      <xdr:row>36</xdr:row>
      <xdr:rowOff>123586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11100435" y="453390"/>
          <a:ext cx="3415246" cy="6291976"/>
          <a:chOff x="10201275" y="438150"/>
          <a:chExt cx="3380956" cy="7153036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229850" y="438150"/>
            <a:ext cx="3352381" cy="5247619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201275" y="5676900"/>
            <a:ext cx="3371429" cy="191428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8"/>
  <sheetViews>
    <sheetView showGridLines="0" tabSelected="1" workbookViewId="0">
      <selection activeCell="A39" sqref="A39:H39"/>
    </sheetView>
  </sheetViews>
  <sheetFormatPr defaultColWidth="9.109375" defaultRowHeight="14.4" x14ac:dyDescent="0.3"/>
  <cols>
    <col min="1" max="1" width="9.109375" style="24"/>
    <col min="2" max="2" width="33.6640625" style="24" customWidth="1"/>
    <col min="3" max="3" width="15.6640625" style="24" customWidth="1"/>
    <col min="4" max="4" width="16.33203125" style="24" customWidth="1"/>
    <col min="5" max="5" width="10.6640625" style="24" customWidth="1"/>
    <col min="6" max="6" width="26.109375" style="24" customWidth="1"/>
    <col min="7" max="7" width="22.6640625" style="24" customWidth="1"/>
    <col min="8" max="8" width="29.5546875" style="24" customWidth="1"/>
    <col min="9" max="9" width="46" customWidth="1"/>
    <col min="11" max="11" width="11.5546875" customWidth="1"/>
    <col min="12" max="12" width="11.109375" customWidth="1"/>
    <col min="13" max="13" width="14" customWidth="1"/>
    <col min="14" max="14" width="11.88671875" customWidth="1"/>
    <col min="15" max="31" width="8.6640625" customWidth="1"/>
    <col min="32" max="16384" width="9.109375" style="24"/>
  </cols>
  <sheetData>
    <row r="2" spans="2:8" x14ac:dyDescent="0.3">
      <c r="B2" s="167" t="s">
        <v>171</v>
      </c>
      <c r="C2" s="167"/>
      <c r="D2" s="167"/>
      <c r="E2" s="167"/>
      <c r="F2" s="167"/>
      <c r="G2" s="167"/>
      <c r="H2" s="160"/>
    </row>
    <row r="3" spans="2:8" x14ac:dyDescent="0.3">
      <c r="B3" s="143"/>
      <c r="C3" s="143"/>
      <c r="E3" s="143"/>
      <c r="F3" s="143"/>
      <c r="G3" s="143"/>
    </row>
    <row r="4" spans="2:8" x14ac:dyDescent="0.3">
      <c r="B4" s="143"/>
      <c r="C4" s="168" t="s">
        <v>179</v>
      </c>
      <c r="D4" s="168"/>
      <c r="E4" s="143"/>
      <c r="F4" s="143"/>
      <c r="G4" s="143"/>
    </row>
    <row r="5" spans="2:8" x14ac:dyDescent="0.3">
      <c r="B5" s="143"/>
      <c r="C5" s="125"/>
      <c r="D5" s="143"/>
      <c r="E5" s="143"/>
      <c r="F5" s="143"/>
      <c r="G5" s="143"/>
    </row>
    <row r="6" spans="2:8" ht="18" x14ac:dyDescent="0.35">
      <c r="C6" s="172" t="s">
        <v>217</v>
      </c>
      <c r="D6" s="172"/>
      <c r="E6" s="172"/>
      <c r="F6" s="172"/>
      <c r="G6" s="172"/>
      <c r="H6" s="172"/>
    </row>
    <row r="7" spans="2:8" ht="28.2" customHeight="1" x14ac:dyDescent="0.3">
      <c r="B7" s="121" t="s">
        <v>186</v>
      </c>
      <c r="C7" s="169" t="s">
        <v>218</v>
      </c>
      <c r="D7" s="170"/>
      <c r="E7" s="170"/>
      <c r="F7" s="170"/>
      <c r="G7" s="170"/>
      <c r="H7" s="171"/>
    </row>
    <row r="8" spans="2:8" ht="15" customHeight="1" x14ac:dyDescent="0.3">
      <c r="B8" s="121" t="s">
        <v>187</v>
      </c>
      <c r="C8" s="161" t="s">
        <v>219</v>
      </c>
      <c r="D8" s="162"/>
      <c r="E8" s="162"/>
      <c r="F8" s="162"/>
      <c r="G8" s="162"/>
      <c r="H8" s="163"/>
    </row>
    <row r="9" spans="2:8" ht="3" customHeight="1" x14ac:dyDescent="0.3">
      <c r="B9" s="23"/>
      <c r="C9" s="96"/>
      <c r="D9" s="97"/>
      <c r="E9" s="97"/>
      <c r="F9" s="97"/>
      <c r="G9" s="97"/>
      <c r="H9" s="98"/>
    </row>
    <row r="10" spans="2:8" x14ac:dyDescent="0.3">
      <c r="B10" s="94" t="s">
        <v>124</v>
      </c>
      <c r="C10" s="161"/>
      <c r="D10" s="162"/>
      <c r="E10" s="162"/>
      <c r="F10" s="162"/>
      <c r="G10" s="162"/>
      <c r="H10" s="163"/>
    </row>
    <row r="11" spans="2:8" ht="3" customHeight="1" x14ac:dyDescent="0.3">
      <c r="C11" s="98"/>
      <c r="D11" s="98"/>
      <c r="E11" s="98"/>
      <c r="F11" s="98"/>
      <c r="G11" s="98"/>
      <c r="H11" s="98"/>
    </row>
    <row r="12" spans="2:8" x14ac:dyDescent="0.3">
      <c r="B12" s="95" t="s">
        <v>120</v>
      </c>
      <c r="C12" s="161"/>
      <c r="D12" s="162"/>
      <c r="E12" s="162"/>
      <c r="F12" s="162"/>
      <c r="G12" s="162"/>
      <c r="H12" s="163"/>
    </row>
    <row r="13" spans="2:8" ht="3" customHeight="1" x14ac:dyDescent="0.3">
      <c r="C13" s="98"/>
      <c r="D13" s="98"/>
      <c r="E13" s="98"/>
      <c r="F13" s="98"/>
      <c r="G13" s="98"/>
      <c r="H13" s="98"/>
    </row>
    <row r="14" spans="2:8" ht="15" customHeight="1" x14ac:dyDescent="0.3">
      <c r="B14" s="95" t="s">
        <v>121</v>
      </c>
      <c r="C14" s="161"/>
      <c r="D14" s="162"/>
      <c r="E14" s="162"/>
      <c r="F14" s="162"/>
      <c r="G14" s="162"/>
      <c r="H14" s="163"/>
    </row>
    <row r="15" spans="2:8" ht="3" customHeight="1" x14ac:dyDescent="0.3">
      <c r="C15" s="98"/>
      <c r="D15" s="98"/>
      <c r="E15" s="98"/>
      <c r="F15" s="98"/>
      <c r="G15" s="98"/>
      <c r="H15" s="98"/>
    </row>
    <row r="16" spans="2:8" x14ac:dyDescent="0.3">
      <c r="B16" s="95" t="s">
        <v>122</v>
      </c>
      <c r="C16" s="161"/>
      <c r="D16" s="162"/>
      <c r="E16" s="162"/>
      <c r="F16" s="162"/>
      <c r="G16" s="162"/>
      <c r="H16" s="163"/>
    </row>
    <row r="17" spans="1:31" ht="3" customHeight="1" x14ac:dyDescent="0.3">
      <c r="B17" s="23"/>
      <c r="C17" s="23"/>
      <c r="D17" s="22"/>
      <c r="E17" s="22"/>
      <c r="F17" s="22"/>
      <c r="G17" s="22"/>
    </row>
    <row r="18" spans="1:31" x14ac:dyDescent="0.3">
      <c r="B18" s="122" t="s">
        <v>194</v>
      </c>
      <c r="C18" s="161"/>
      <c r="D18" s="162"/>
      <c r="E18" s="162"/>
      <c r="F18" s="162"/>
      <c r="G18" s="162"/>
      <c r="H18" s="163"/>
    </row>
    <row r="19" spans="1:31" ht="3" customHeight="1" x14ac:dyDescent="0.3">
      <c r="B19" s="123"/>
      <c r="C19" s="145"/>
      <c r="D19" s="145"/>
      <c r="E19" s="145"/>
      <c r="F19" s="145"/>
      <c r="G19" s="145"/>
      <c r="H19" s="145"/>
    </row>
    <row r="20" spans="1:31" x14ac:dyDescent="0.3">
      <c r="B20" s="122" t="s">
        <v>220</v>
      </c>
      <c r="C20" s="161"/>
      <c r="D20" s="162"/>
      <c r="E20" s="162"/>
      <c r="F20" s="162"/>
      <c r="G20" s="162"/>
      <c r="H20" s="163"/>
    </row>
    <row r="22" spans="1:31" customFormat="1" ht="26.25" customHeight="1" x14ac:dyDescent="0.25">
      <c r="A22" s="123"/>
      <c r="B22" s="174" t="s">
        <v>221</v>
      </c>
      <c r="C22" s="174"/>
      <c r="D22" s="174"/>
      <c r="E22" s="174"/>
      <c r="F22" s="174"/>
      <c r="G22" s="174"/>
      <c r="H22" s="174"/>
    </row>
    <row r="24" spans="1:31" ht="19.2" customHeight="1" x14ac:dyDescent="0.3">
      <c r="B24" s="61" t="s">
        <v>119</v>
      </c>
      <c r="C24" s="111"/>
      <c r="D24" s="61" t="s">
        <v>198</v>
      </c>
      <c r="E24" s="112"/>
      <c r="F24" s="61" t="s">
        <v>118</v>
      </c>
      <c r="G24" s="146" t="str">
        <f>IF(E24=0,"",EDATE(C24,E24)-1)</f>
        <v/>
      </c>
      <c r="H24" s="164"/>
      <c r="I24" s="165"/>
      <c r="J24" s="165"/>
      <c r="K24" s="165"/>
      <c r="L24" s="165"/>
      <c r="M24" s="165"/>
      <c r="N24" s="165"/>
      <c r="O24" s="165"/>
      <c r="P24" s="165"/>
    </row>
    <row r="25" spans="1:31" x14ac:dyDescent="0.3">
      <c r="B25" s="164" t="s">
        <v>222</v>
      </c>
      <c r="C25" s="165"/>
      <c r="D25" s="165"/>
      <c r="E25" s="165"/>
      <c r="F25" s="165"/>
      <c r="G25" s="165"/>
      <c r="H25" s="165"/>
      <c r="I25" s="165"/>
      <c r="J25" s="165"/>
    </row>
    <row r="26" spans="1:31" x14ac:dyDescent="0.3">
      <c r="B26" s="164"/>
      <c r="C26" s="165"/>
      <c r="D26" s="165"/>
      <c r="E26" s="165"/>
      <c r="F26" s="165"/>
      <c r="G26" s="165"/>
      <c r="H26" s="165"/>
      <c r="I26" s="165"/>
      <c r="J26" s="165"/>
    </row>
    <row r="27" spans="1:31" x14ac:dyDescent="0.3">
      <c r="B27" s="147"/>
      <c r="C27" s="144"/>
      <c r="D27" s="144"/>
      <c r="E27" s="144"/>
      <c r="F27" s="144"/>
      <c r="G27" s="144"/>
      <c r="H27" s="144"/>
      <c r="I27" s="144"/>
      <c r="J27" s="144"/>
    </row>
    <row r="28" spans="1:31" x14ac:dyDescent="0.3">
      <c r="B28" s="175" t="s">
        <v>223</v>
      </c>
      <c r="C28" s="160"/>
      <c r="D28" s="160"/>
      <c r="E28" s="160"/>
      <c r="F28" s="160"/>
      <c r="G28" s="160"/>
      <c r="H28" s="160"/>
    </row>
    <row r="29" spans="1:31" ht="32.25" customHeight="1" x14ac:dyDescent="0.3">
      <c r="B29" s="62" t="s">
        <v>117</v>
      </c>
      <c r="C29" s="173" t="s">
        <v>116</v>
      </c>
      <c r="D29" s="173"/>
      <c r="E29" s="173"/>
      <c r="F29" s="173"/>
      <c r="G29" s="63" t="s">
        <v>189</v>
      </c>
      <c r="H29" s="63" t="s">
        <v>188</v>
      </c>
      <c r="AE29" s="24"/>
    </row>
    <row r="30" spans="1:31" x14ac:dyDescent="0.3">
      <c r="B30" s="61" t="s">
        <v>224</v>
      </c>
      <c r="C30" s="161"/>
      <c r="D30" s="162"/>
      <c r="E30" s="162"/>
      <c r="F30" s="163"/>
      <c r="G30" s="111"/>
      <c r="H30" s="111"/>
      <c r="I30" s="148"/>
      <c r="AE30" s="24"/>
    </row>
    <row r="31" spans="1:31" x14ac:dyDescent="0.3">
      <c r="B31" s="149" t="s">
        <v>225</v>
      </c>
      <c r="C31" s="161"/>
      <c r="D31" s="162"/>
      <c r="E31" s="162"/>
      <c r="F31" s="163"/>
      <c r="G31" s="111"/>
      <c r="H31" s="111"/>
      <c r="I31" s="148"/>
      <c r="AE31" s="24"/>
    </row>
    <row r="32" spans="1:31" x14ac:dyDescent="0.3">
      <c r="B32" s="149" t="s">
        <v>226</v>
      </c>
      <c r="C32" s="161"/>
      <c r="D32" s="162"/>
      <c r="E32" s="162"/>
      <c r="F32" s="163"/>
      <c r="G32" s="111"/>
      <c r="H32" s="111"/>
      <c r="AE32" s="24"/>
    </row>
    <row r="33" spans="1:31" x14ac:dyDescent="0.3">
      <c r="B33" s="149" t="s">
        <v>227</v>
      </c>
      <c r="C33" s="161"/>
      <c r="D33" s="162"/>
      <c r="E33" s="162"/>
      <c r="F33" s="163"/>
      <c r="G33" s="111"/>
      <c r="H33" s="111"/>
      <c r="AE33" s="24"/>
    </row>
    <row r="34" spans="1:31" x14ac:dyDescent="0.3">
      <c r="B34" s="149" t="s">
        <v>228</v>
      </c>
      <c r="C34" s="161"/>
      <c r="D34" s="162"/>
      <c r="E34" s="162"/>
      <c r="F34" s="163"/>
      <c r="G34" s="111"/>
      <c r="H34" s="111"/>
      <c r="AE34" s="24"/>
    </row>
    <row r="35" spans="1:31" x14ac:dyDescent="0.3">
      <c r="B35" s="150" t="s">
        <v>193</v>
      </c>
    </row>
    <row r="37" spans="1:31" ht="15" customHeight="1" x14ac:dyDescent="0.3">
      <c r="A37" s="151"/>
      <c r="B37" s="166" t="s">
        <v>229</v>
      </c>
      <c r="C37" s="166"/>
      <c r="D37" s="166"/>
      <c r="E37" s="166"/>
      <c r="F37" s="166"/>
      <c r="G37" s="166"/>
      <c r="H37" s="166"/>
      <c r="I37" s="88"/>
    </row>
    <row r="38" spans="1:31" ht="15" customHeight="1" x14ac:dyDescent="0.3">
      <c r="A38" s="151"/>
      <c r="B38" s="166" t="s">
        <v>230</v>
      </c>
      <c r="C38" s="166"/>
      <c r="D38" s="166"/>
      <c r="E38" s="166"/>
      <c r="F38" s="166"/>
      <c r="G38" s="166"/>
      <c r="H38" s="166"/>
      <c r="I38" s="88"/>
    </row>
    <row r="39" spans="1:31" ht="31.5" customHeight="1" x14ac:dyDescent="0.3">
      <c r="A39" s="159"/>
      <c r="B39" s="160"/>
      <c r="C39" s="160"/>
      <c r="D39" s="160"/>
      <c r="E39" s="160"/>
      <c r="F39" s="160"/>
      <c r="G39" s="160"/>
      <c r="H39" s="160"/>
      <c r="I39" s="88"/>
    </row>
    <row r="40" spans="1:31" ht="15" customHeight="1" x14ac:dyDescent="0.3">
      <c r="A40"/>
      <c r="I40" s="88"/>
    </row>
    <row r="41" spans="1:31" ht="15" customHeight="1" x14ac:dyDescent="0.3">
      <c r="A41"/>
      <c r="I41" s="88"/>
    </row>
    <row r="42" spans="1:31" ht="15" customHeight="1" x14ac:dyDescent="0.3">
      <c r="A42"/>
      <c r="I42" s="88"/>
    </row>
    <row r="43" spans="1:31" ht="15" customHeight="1" x14ac:dyDescent="0.3">
      <c r="A43"/>
    </row>
    <row r="44" spans="1:31" ht="15" customHeight="1" x14ac:dyDescent="0.3"/>
    <row r="45" spans="1:31" ht="15" customHeight="1" x14ac:dyDescent="0.3">
      <c r="A45"/>
    </row>
    <row r="46" spans="1:31" ht="15" customHeight="1" x14ac:dyDescent="0.3">
      <c r="A46"/>
    </row>
    <row r="47" spans="1:31" ht="15" customHeight="1" x14ac:dyDescent="0.3">
      <c r="A47"/>
    </row>
    <row r="48" spans="1:31" ht="15" customHeight="1" x14ac:dyDescent="0.3">
      <c r="A48"/>
    </row>
  </sheetData>
  <mergeCells count="25">
    <mergeCell ref="C20:H20"/>
    <mergeCell ref="C6:H6"/>
    <mergeCell ref="C18:H18"/>
    <mergeCell ref="C33:F33"/>
    <mergeCell ref="C29:F29"/>
    <mergeCell ref="B22:H22"/>
    <mergeCell ref="H24:P24"/>
    <mergeCell ref="B26:J26"/>
    <mergeCell ref="B28:H28"/>
    <mergeCell ref="B2:H2"/>
    <mergeCell ref="C14:H14"/>
    <mergeCell ref="C16:H16"/>
    <mergeCell ref="C10:H10"/>
    <mergeCell ref="C8:H8"/>
    <mergeCell ref="C12:H12"/>
    <mergeCell ref="C4:D4"/>
    <mergeCell ref="C7:H7"/>
    <mergeCell ref="A39:H39"/>
    <mergeCell ref="C32:F32"/>
    <mergeCell ref="B25:J25"/>
    <mergeCell ref="C34:F34"/>
    <mergeCell ref="B37:H37"/>
    <mergeCell ref="B38:H38"/>
    <mergeCell ref="C30:F30"/>
    <mergeCell ref="C31:F31"/>
  </mergeCells>
  <conditionalFormatting sqref="B9:G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B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G17 B1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3"/>
  <sheetViews>
    <sheetView showGridLines="0" workbookViewId="0">
      <selection activeCell="E3" sqref="E3"/>
    </sheetView>
  </sheetViews>
  <sheetFormatPr defaultColWidth="8.6640625" defaultRowHeight="13.2" x14ac:dyDescent="0.25"/>
  <cols>
    <col min="1" max="1" width="8.109375" customWidth="1"/>
    <col min="2" max="2" width="44.109375" customWidth="1"/>
    <col min="3" max="3" width="25.6640625" customWidth="1"/>
    <col min="4" max="4" width="33.44140625" customWidth="1"/>
    <col min="5" max="5" width="15.5546875" customWidth="1"/>
    <col min="6" max="6" width="12.88671875" customWidth="1"/>
    <col min="7" max="7" width="10.109375" bestFit="1" customWidth="1"/>
    <col min="8" max="8" width="9.88671875" customWidth="1"/>
    <col min="10" max="10" width="46" customWidth="1"/>
    <col min="11" max="11" width="33.5546875" customWidth="1"/>
    <col min="12" max="12" width="11.5546875" customWidth="1"/>
    <col min="13" max="13" width="72.6640625" customWidth="1"/>
    <col min="14" max="14" width="14" customWidth="1"/>
    <col min="15" max="15" width="11.88671875" customWidth="1"/>
  </cols>
  <sheetData>
    <row r="1" spans="2:15" ht="21" customHeight="1" x14ac:dyDescent="0.25">
      <c r="B1" s="113"/>
      <c r="C1" s="158" t="s">
        <v>179</v>
      </c>
      <c r="D1" s="5"/>
      <c r="E1" s="180" t="s">
        <v>236</v>
      </c>
      <c r="F1" s="180"/>
      <c r="G1" s="180"/>
      <c r="H1" s="180"/>
      <c r="I1" s="180"/>
      <c r="J1" s="180"/>
      <c r="K1" s="5"/>
      <c r="L1" s="5"/>
      <c r="M1" s="5"/>
      <c r="N1" s="5"/>
      <c r="O1" s="5"/>
    </row>
    <row r="2" spans="2:15" ht="25.5" customHeight="1" thickBot="1" x14ac:dyDescent="0.3">
      <c r="B2" s="113" t="s">
        <v>109</v>
      </c>
      <c r="C2" s="5"/>
      <c r="D2" s="5"/>
      <c r="E2" s="180"/>
      <c r="F2" s="180"/>
      <c r="G2" s="180"/>
      <c r="H2" s="180"/>
      <c r="I2" s="180"/>
      <c r="J2" s="180"/>
      <c r="K2" s="5"/>
      <c r="L2" s="5"/>
      <c r="M2" s="5"/>
      <c r="N2" s="5"/>
      <c r="O2" s="5"/>
    </row>
    <row r="3" spans="2:15" ht="14.4" thickTop="1" thickBot="1" x14ac:dyDescent="0.3">
      <c r="B3" s="178" t="s">
        <v>110</v>
      </c>
      <c r="C3" s="178" t="s">
        <v>111</v>
      </c>
      <c r="D3" s="178" t="s">
        <v>195</v>
      </c>
    </row>
    <row r="4" spans="2:15" ht="14.4" thickTop="1" thickBot="1" x14ac:dyDescent="0.3">
      <c r="B4" s="178"/>
      <c r="C4" s="179"/>
      <c r="D4" s="179"/>
    </row>
    <row r="5" spans="2:15" ht="30" customHeight="1" thickTop="1" thickBot="1" x14ac:dyDescent="0.35">
      <c r="B5" s="59" t="s">
        <v>125</v>
      </c>
      <c r="C5" s="110"/>
      <c r="D5" s="152"/>
      <c r="E5" s="181" t="s">
        <v>166</v>
      </c>
      <c r="F5" s="182"/>
      <c r="G5" s="182"/>
      <c r="H5" s="182"/>
      <c r="I5" s="182"/>
      <c r="J5" s="182"/>
      <c r="K5" s="182"/>
      <c r="L5" s="182"/>
      <c r="M5" s="182"/>
    </row>
    <row r="6" spans="2:15" ht="30" customHeight="1" thickTop="1" thickBot="1" x14ac:dyDescent="0.35">
      <c r="B6" s="59" t="s">
        <v>126</v>
      </c>
      <c r="C6" s="110"/>
      <c r="D6" s="152"/>
      <c r="E6" s="183"/>
      <c r="F6" s="184"/>
      <c r="G6" s="184"/>
      <c r="H6" s="184"/>
      <c r="I6" s="184"/>
      <c r="J6" s="184"/>
      <c r="K6" s="184"/>
      <c r="L6" s="184"/>
      <c r="M6" s="184"/>
    </row>
    <row r="7" spans="2:15" ht="30" customHeight="1" thickTop="1" thickBot="1" x14ac:dyDescent="0.35">
      <c r="B7" s="60" t="s">
        <v>112</v>
      </c>
      <c r="C7" s="110">
        <v>0</v>
      </c>
      <c r="D7" s="152"/>
      <c r="E7" s="185" t="s">
        <v>172</v>
      </c>
      <c r="F7" s="186"/>
      <c r="G7" s="186"/>
      <c r="H7" s="186"/>
      <c r="I7" s="186"/>
      <c r="J7" s="186"/>
      <c r="K7" s="186"/>
      <c r="L7" s="186"/>
      <c r="M7" s="186"/>
    </row>
    <row r="8" spans="2:15" ht="30" customHeight="1" thickTop="1" thickBot="1" x14ac:dyDescent="0.35">
      <c r="B8" s="60" t="s">
        <v>123</v>
      </c>
      <c r="C8" s="110"/>
      <c r="D8" s="152"/>
      <c r="E8" s="176" t="s">
        <v>168</v>
      </c>
      <c r="F8" s="177"/>
      <c r="G8" s="177"/>
      <c r="H8" s="177"/>
      <c r="I8" s="177"/>
      <c r="J8" s="177"/>
      <c r="K8" s="177"/>
      <c r="L8" s="177"/>
      <c r="M8" s="177"/>
    </row>
    <row r="9" spans="2:15" ht="30" customHeight="1" thickTop="1" thickBot="1" x14ac:dyDescent="0.35">
      <c r="B9" s="60" t="s">
        <v>113</v>
      </c>
      <c r="C9" s="110"/>
      <c r="D9" s="152"/>
      <c r="E9" s="176" t="s">
        <v>170</v>
      </c>
      <c r="F9" s="177"/>
      <c r="G9" s="177"/>
      <c r="H9" s="177"/>
      <c r="I9" s="177"/>
      <c r="J9" s="177"/>
      <c r="K9" s="177"/>
      <c r="L9" s="177"/>
      <c r="M9" s="177"/>
    </row>
    <row r="10" spans="2:15" ht="30" customHeight="1" thickTop="1" thickBot="1" x14ac:dyDescent="0.35">
      <c r="B10" s="60" t="s">
        <v>127</v>
      </c>
      <c r="C10" s="110">
        <v>0</v>
      </c>
      <c r="D10" s="152"/>
      <c r="E10" s="176" t="s">
        <v>169</v>
      </c>
      <c r="F10" s="177"/>
      <c r="G10" s="177"/>
      <c r="H10" s="177"/>
      <c r="I10" s="177"/>
      <c r="J10" s="177"/>
      <c r="K10" s="177"/>
      <c r="L10" s="177"/>
      <c r="M10" s="177"/>
    </row>
    <row r="11" spans="2:15" ht="30" customHeight="1" thickTop="1" thickBot="1" x14ac:dyDescent="0.35">
      <c r="B11" s="60" t="s">
        <v>128</v>
      </c>
      <c r="C11" s="110"/>
      <c r="D11" s="152"/>
      <c r="E11" s="176" t="s">
        <v>231</v>
      </c>
      <c r="F11" s="177"/>
      <c r="G11" s="177"/>
      <c r="H11" s="177"/>
      <c r="I11" s="177"/>
      <c r="J11" s="177"/>
      <c r="K11" s="177"/>
      <c r="L11" s="177"/>
      <c r="M11" s="177"/>
    </row>
    <row r="12" spans="2:15" ht="30" customHeight="1" thickTop="1" thickBot="1" x14ac:dyDescent="0.35">
      <c r="B12" s="60" t="s">
        <v>129</v>
      </c>
      <c r="C12" s="110"/>
      <c r="D12" s="152"/>
      <c r="E12" s="176" t="s">
        <v>235</v>
      </c>
      <c r="F12" s="177"/>
      <c r="G12" s="177"/>
      <c r="H12" s="177"/>
      <c r="I12" s="177"/>
      <c r="J12" s="177"/>
      <c r="K12" s="177"/>
      <c r="L12" s="177"/>
      <c r="M12" s="177"/>
    </row>
    <row r="13" spans="2:15" ht="30" customHeight="1" thickTop="1" thickBot="1" x14ac:dyDescent="0.35">
      <c r="B13" s="60" t="s">
        <v>130</v>
      </c>
      <c r="C13" s="110"/>
      <c r="D13" s="152"/>
      <c r="E13" s="176" t="s">
        <v>192</v>
      </c>
      <c r="F13" s="177"/>
      <c r="G13" s="177"/>
      <c r="H13" s="177"/>
      <c r="I13" s="177"/>
      <c r="J13" s="177"/>
      <c r="K13" s="177"/>
      <c r="L13" s="177"/>
      <c r="M13" s="177"/>
    </row>
    <row r="14" spans="2:15" ht="30" customHeight="1" thickTop="1" thickBot="1" x14ac:dyDescent="0.3">
      <c r="B14" s="60" t="s">
        <v>131</v>
      </c>
      <c r="C14" s="153">
        <f>SUM(C5:C13)</f>
        <v>0</v>
      </c>
      <c r="D14" s="127"/>
      <c r="E14" s="176"/>
      <c r="F14" s="177"/>
      <c r="G14" s="177"/>
      <c r="H14" s="177"/>
      <c r="I14" s="177"/>
      <c r="J14" s="177"/>
      <c r="K14" s="177"/>
      <c r="L14" s="177"/>
      <c r="M14" s="177"/>
    </row>
    <row r="15" spans="2:15" ht="30" customHeight="1" thickTop="1" thickBot="1" x14ac:dyDescent="0.3">
      <c r="B15" s="154" t="s">
        <v>232</v>
      </c>
      <c r="C15" s="153">
        <f>(C5+C6+C7+C8+C9+C10+C11+C12+C13)*0.25</f>
        <v>0</v>
      </c>
      <c r="D15" s="127"/>
      <c r="E15" s="176" t="s">
        <v>233</v>
      </c>
      <c r="F15" s="177"/>
      <c r="G15" s="177"/>
      <c r="H15" s="177"/>
      <c r="I15" s="177"/>
      <c r="J15" s="177"/>
      <c r="K15" s="177"/>
      <c r="L15" s="177"/>
      <c r="M15" s="177"/>
    </row>
    <row r="16" spans="2:15" ht="30" customHeight="1" thickTop="1" thickBot="1" x14ac:dyDescent="0.3">
      <c r="B16" s="155" t="s">
        <v>2</v>
      </c>
      <c r="C16" s="153">
        <f>C14+C15</f>
        <v>0</v>
      </c>
      <c r="D16" s="127"/>
      <c r="E16" s="176" t="s">
        <v>234</v>
      </c>
      <c r="F16" s="177"/>
      <c r="G16" s="177"/>
      <c r="H16" s="177"/>
      <c r="I16" s="177"/>
      <c r="J16" s="177"/>
      <c r="K16" s="177"/>
      <c r="L16" s="177"/>
      <c r="M16" s="177"/>
    </row>
    <row r="17" spans="2:15" ht="27.75" customHeight="1" thickTop="1" x14ac:dyDescent="0.25">
      <c r="F17" s="86"/>
      <c r="N17" s="6"/>
      <c r="O17" s="6"/>
    </row>
    <row r="18" spans="2:15" ht="14.4" x14ac:dyDescent="0.25">
      <c r="F18" s="86"/>
    </row>
    <row r="19" spans="2:15" ht="15" thickBot="1" x14ac:dyDescent="0.35">
      <c r="B19" s="64" t="s">
        <v>190</v>
      </c>
      <c r="C19" s="65">
        <v>0.2</v>
      </c>
      <c r="D19" s="157"/>
      <c r="E19" s="157"/>
      <c r="F19" s="86"/>
      <c r="G19" s="157"/>
      <c r="H19" s="157"/>
      <c r="I19" s="157"/>
      <c r="J19" s="91"/>
    </row>
    <row r="20" spans="2:15" ht="15.6" thickTop="1" thickBot="1" x14ac:dyDescent="0.35">
      <c r="B20" s="64" t="s">
        <v>134</v>
      </c>
      <c r="C20" s="156">
        <v>0.11700000000000001</v>
      </c>
      <c r="D20" s="188"/>
      <c r="E20" s="188"/>
      <c r="F20" s="188"/>
      <c r="G20" s="189"/>
      <c r="H20" s="188"/>
      <c r="I20" s="188"/>
      <c r="J20" s="91"/>
      <c r="K20" s="157"/>
    </row>
    <row r="21" spans="2:15" ht="15.6" thickTop="1" thickBot="1" x14ac:dyDescent="0.35">
      <c r="B21" s="64" t="s">
        <v>135</v>
      </c>
      <c r="C21" s="156">
        <v>2.5000000000000001E-2</v>
      </c>
      <c r="D21" s="188"/>
      <c r="E21" s="188"/>
      <c r="F21" s="188"/>
      <c r="G21" s="189"/>
      <c r="H21" s="188"/>
      <c r="I21" s="188"/>
      <c r="J21" s="91"/>
      <c r="K21" s="157"/>
    </row>
    <row r="22" spans="2:15" ht="15.6" thickTop="1" thickBot="1" x14ac:dyDescent="0.35">
      <c r="B22" s="64" t="s">
        <v>136</v>
      </c>
      <c r="C22" s="156">
        <v>8.0000000000000002E-3</v>
      </c>
      <c r="D22" s="188"/>
      <c r="E22" s="188"/>
      <c r="F22" s="188"/>
      <c r="G22" s="189"/>
      <c r="H22" s="188"/>
      <c r="I22" s="188"/>
      <c r="J22" s="91"/>
      <c r="K22" s="157"/>
    </row>
    <row r="23" spans="2:15" ht="24.75" customHeight="1" thickTop="1" thickBot="1" x14ac:dyDescent="0.35">
      <c r="B23" s="64" t="s">
        <v>137</v>
      </c>
      <c r="C23" s="156">
        <v>0.05</v>
      </c>
      <c r="D23" s="91"/>
      <c r="E23" s="91"/>
      <c r="F23" s="91"/>
      <c r="G23" s="189"/>
      <c r="H23" s="188"/>
      <c r="I23" s="188"/>
      <c r="J23" s="91"/>
      <c r="K23" s="157"/>
    </row>
    <row r="24" spans="2:15" ht="15" thickTop="1" x14ac:dyDescent="0.3">
      <c r="B24" s="124" t="s">
        <v>191</v>
      </c>
      <c r="D24" s="91"/>
      <c r="E24" s="91"/>
      <c r="F24" s="91"/>
      <c r="G24" s="91"/>
      <c r="H24" s="91"/>
      <c r="I24" s="91"/>
      <c r="J24" s="91"/>
    </row>
    <row r="25" spans="2:15" ht="52.5" customHeight="1" x14ac:dyDescent="0.25">
      <c r="C25" s="6"/>
      <c r="D25" s="91"/>
      <c r="E25" s="91"/>
      <c r="F25" s="91"/>
      <c r="G25" s="187"/>
      <c r="H25" s="187"/>
      <c r="I25" s="187"/>
      <c r="J25" s="187"/>
    </row>
    <row r="26" spans="2:15" x14ac:dyDescent="0.25">
      <c r="D26" s="91"/>
      <c r="E26" s="91"/>
      <c r="F26" s="91"/>
      <c r="G26" s="91"/>
      <c r="H26" s="91"/>
      <c r="I26" s="91"/>
      <c r="J26" s="91"/>
    </row>
    <row r="27" spans="2:15" x14ac:dyDescent="0.25">
      <c r="F27" s="6"/>
    </row>
    <row r="28" spans="2:15" x14ac:dyDescent="0.25">
      <c r="F28" s="6"/>
    </row>
    <row r="30" spans="2:15" x14ac:dyDescent="0.25">
      <c r="B30" s="164"/>
      <c r="C30" s="165"/>
      <c r="D30" s="165"/>
      <c r="E30" s="165"/>
      <c r="F30" s="165"/>
      <c r="G30" s="165"/>
      <c r="H30" s="165"/>
    </row>
    <row r="31" spans="2:15" x14ac:dyDescent="0.25">
      <c r="B31" s="164"/>
      <c r="C31" s="165"/>
      <c r="D31" s="165"/>
      <c r="E31" s="165"/>
      <c r="F31" s="165"/>
      <c r="G31" s="165"/>
      <c r="H31" s="165"/>
    </row>
    <row r="32" spans="2:15" ht="17.399999999999999" x14ac:dyDescent="0.25">
      <c r="E32" s="87"/>
    </row>
    <row r="33" spans="5:5" ht="17.399999999999999" x14ac:dyDescent="0.25">
      <c r="E33" s="87"/>
    </row>
    <row r="34" spans="5:5" ht="17.399999999999999" x14ac:dyDescent="0.25">
      <c r="E34" s="87"/>
    </row>
    <row r="35" spans="5:5" ht="17.399999999999999" x14ac:dyDescent="0.25">
      <c r="E35" s="87"/>
    </row>
    <row r="36" spans="5:5" ht="17.399999999999999" x14ac:dyDescent="0.25">
      <c r="E36" s="87"/>
    </row>
    <row r="37" spans="5:5" ht="17.399999999999999" x14ac:dyDescent="0.25">
      <c r="E37" s="87"/>
    </row>
    <row r="38" spans="5:5" ht="13.8" x14ac:dyDescent="0.25">
      <c r="E38" s="89"/>
    </row>
    <row r="39" spans="5:5" ht="13.8" x14ac:dyDescent="0.25">
      <c r="E39" s="89"/>
    </row>
    <row r="40" spans="5:5" ht="13.8" x14ac:dyDescent="0.25">
      <c r="E40" s="89"/>
    </row>
    <row r="41" spans="5:5" ht="13.8" x14ac:dyDescent="0.25">
      <c r="E41" s="89"/>
    </row>
    <row r="42" spans="5:5" ht="13.8" x14ac:dyDescent="0.25">
      <c r="E42" s="89"/>
    </row>
    <row r="43" spans="5:5" ht="13.8" x14ac:dyDescent="0.25">
      <c r="E43" s="90"/>
    </row>
  </sheetData>
  <mergeCells count="25">
    <mergeCell ref="B30:H30"/>
    <mergeCell ref="B31:H31"/>
    <mergeCell ref="D20:F20"/>
    <mergeCell ref="G20:I20"/>
    <mergeCell ref="D21:F21"/>
    <mergeCell ref="G21:I21"/>
    <mergeCell ref="D22:F22"/>
    <mergeCell ref="G22:I22"/>
    <mergeCell ref="G23:I23"/>
    <mergeCell ref="E13:M13"/>
    <mergeCell ref="E14:M14"/>
    <mergeCell ref="E15:M15"/>
    <mergeCell ref="E16:M16"/>
    <mergeCell ref="G25:J25"/>
    <mergeCell ref="E1:J2"/>
    <mergeCell ref="D3:D4"/>
    <mergeCell ref="E5:M6"/>
    <mergeCell ref="E7:M7"/>
    <mergeCell ref="E12:M12"/>
    <mergeCell ref="E9:M9"/>
    <mergeCell ref="E10:M10"/>
    <mergeCell ref="E11:M11"/>
    <mergeCell ref="B3:B4"/>
    <mergeCell ref="C3:C4"/>
    <mergeCell ref="E8:M8"/>
  </mergeCells>
  <pageMargins left="0.7" right="0.7" top="0.75" bottom="0.75" header="0.3" footer="0.3"/>
  <pageSetup paperSize="9" scale="6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showGridLines="0" workbookViewId="0">
      <selection activeCell="A27" sqref="A27"/>
    </sheetView>
  </sheetViews>
  <sheetFormatPr defaultColWidth="8.5546875" defaultRowHeight="13.2" x14ac:dyDescent="0.25"/>
  <cols>
    <col min="1" max="1" width="41.5546875" customWidth="1"/>
    <col min="2" max="2" width="13.44140625" customWidth="1"/>
    <col min="3" max="3" width="72.5546875" customWidth="1"/>
    <col min="4" max="10" width="15.5546875" customWidth="1"/>
    <col min="11" max="11" width="9" customWidth="1"/>
    <col min="12" max="12" width="15.44140625" customWidth="1"/>
    <col min="13" max="13" width="1.5546875" customWidth="1"/>
    <col min="20" max="20" width="9.44140625" customWidth="1"/>
  </cols>
  <sheetData>
    <row r="1" spans="1:11" ht="16.5" customHeight="1" x14ac:dyDescent="0.25">
      <c r="A1" s="194" t="s">
        <v>179</v>
      </c>
      <c r="B1" s="194"/>
    </row>
    <row r="2" spans="1:11" ht="21" x14ac:dyDescent="0.4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1" ht="14.4" x14ac:dyDescent="0.3">
      <c r="A3" s="107" t="s">
        <v>178</v>
      </c>
      <c r="B3" s="110">
        <v>2294.9533000000001</v>
      </c>
      <c r="C3" s="106"/>
      <c r="D3" s="106"/>
    </row>
    <row r="4" spans="1:11" ht="14.4" x14ac:dyDescent="0.3">
      <c r="A4" s="56" t="s">
        <v>103</v>
      </c>
      <c r="B4" s="56">
        <f>VLOOKUP(B5,'Nivel Remuneratório Doutorado'!$G$4:$H$53,2,FALSE)</f>
        <v>33</v>
      </c>
      <c r="C4" s="56" t="s">
        <v>33</v>
      </c>
      <c r="D4" s="57" t="s">
        <v>34</v>
      </c>
      <c r="E4" s="57" t="s">
        <v>104</v>
      </c>
      <c r="F4" s="57" t="s">
        <v>107</v>
      </c>
      <c r="G4" s="57" t="s">
        <v>108</v>
      </c>
      <c r="H4" s="57" t="s">
        <v>185</v>
      </c>
      <c r="I4" s="57" t="s">
        <v>105</v>
      </c>
      <c r="J4" s="58" t="s">
        <v>106</v>
      </c>
    </row>
    <row r="5" spans="1:11" x14ac:dyDescent="0.25">
      <c r="A5" s="85" t="s">
        <v>9</v>
      </c>
      <c r="B5" s="99">
        <f>B3</f>
        <v>2294.9533000000001</v>
      </c>
      <c r="C5" s="11" t="s">
        <v>143</v>
      </c>
      <c r="D5" s="99">
        <f>B5*12</f>
        <v>27539.439600000002</v>
      </c>
      <c r="E5" s="99">
        <f>B5*15</f>
        <v>34424.299500000001</v>
      </c>
      <c r="F5" s="99">
        <f>B5*18</f>
        <v>41309.159400000004</v>
      </c>
      <c r="G5" s="99">
        <f>B5*20</f>
        <v>45899.066000000006</v>
      </c>
      <c r="H5" s="99">
        <f>B5*24</f>
        <v>55078.879200000003</v>
      </c>
      <c r="I5" s="100">
        <f>B5*30</f>
        <v>68848.599000000002</v>
      </c>
      <c r="J5" s="101">
        <f>B5*36</f>
        <v>82618.318800000008</v>
      </c>
    </row>
    <row r="6" spans="1:11" x14ac:dyDescent="0.25">
      <c r="A6" s="54" t="s">
        <v>35</v>
      </c>
      <c r="B6" s="99">
        <f>6*22</f>
        <v>132</v>
      </c>
      <c r="C6" s="12" t="s">
        <v>144</v>
      </c>
      <c r="D6" s="99">
        <f>B6*11</f>
        <v>1452</v>
      </c>
      <c r="E6" s="99">
        <f>B6*14</f>
        <v>1848</v>
      </c>
      <c r="F6" s="99">
        <f>B6*16+B6/2</f>
        <v>2178</v>
      </c>
      <c r="G6" s="99">
        <f>B6*18</f>
        <v>2376</v>
      </c>
      <c r="H6" s="99">
        <f>B6*22</f>
        <v>2904</v>
      </c>
      <c r="I6" s="100">
        <f>B6*28</f>
        <v>3696</v>
      </c>
      <c r="J6" s="101">
        <f>B6*33</f>
        <v>4356</v>
      </c>
    </row>
    <row r="7" spans="1:11" x14ac:dyDescent="0.25">
      <c r="A7" s="54" t="s">
        <v>36</v>
      </c>
      <c r="B7" s="99">
        <f>B5</f>
        <v>2294.9533000000001</v>
      </c>
      <c r="C7" s="12" t="s">
        <v>156</v>
      </c>
      <c r="D7" s="99">
        <f>B7</f>
        <v>2294.9533000000001</v>
      </c>
      <c r="E7" s="99">
        <f>B5*15/12</f>
        <v>2868.6916249999999</v>
      </c>
      <c r="F7" s="99">
        <f>B5*18/12</f>
        <v>3442.4299500000002</v>
      </c>
      <c r="G7" s="99">
        <f>B5*20/12</f>
        <v>3824.9221666666672</v>
      </c>
      <c r="H7" s="99">
        <f>B7*2</f>
        <v>4589.9066000000003</v>
      </c>
      <c r="I7" s="100">
        <f>(D7*2)+D7/2</f>
        <v>5737.3832500000008</v>
      </c>
      <c r="J7" s="101">
        <f>D7*3</f>
        <v>6884.8599000000004</v>
      </c>
    </row>
    <row r="8" spans="1:11" x14ac:dyDescent="0.25">
      <c r="A8" s="54" t="s">
        <v>37</v>
      </c>
      <c r="B8" s="99">
        <f>B5/12</f>
        <v>191.24610833333335</v>
      </c>
      <c r="C8" s="12" t="s">
        <v>157</v>
      </c>
      <c r="D8" s="99">
        <f>B8*12</f>
        <v>2294.9533000000001</v>
      </c>
      <c r="E8" s="99">
        <f>B8*15</f>
        <v>2868.6916250000004</v>
      </c>
      <c r="F8" s="99">
        <f>B8*18</f>
        <v>3442.4299500000002</v>
      </c>
      <c r="G8" s="99">
        <f>B8*20</f>
        <v>3824.9221666666672</v>
      </c>
      <c r="H8" s="99">
        <f>B8*24</f>
        <v>4589.9066000000003</v>
      </c>
      <c r="I8" s="100">
        <f>B8*30</f>
        <v>5737.3832500000008</v>
      </c>
      <c r="J8" s="101">
        <f>B8*36</f>
        <v>6884.8599000000004</v>
      </c>
    </row>
    <row r="9" spans="1:11" x14ac:dyDescent="0.25">
      <c r="A9" s="82" t="s">
        <v>161</v>
      </c>
      <c r="B9" s="102">
        <f>(B5/30)*18</f>
        <v>1376.9719800000003</v>
      </c>
      <c r="C9" s="84" t="s">
        <v>158</v>
      </c>
      <c r="D9" s="102">
        <f>B9</f>
        <v>1376.9719800000003</v>
      </c>
      <c r="E9" s="102">
        <f>(B5/30*(18*15/12))</f>
        <v>1721.2149750000001</v>
      </c>
      <c r="F9" s="102">
        <f>B9+B9/2</f>
        <v>2065.4579700000004</v>
      </c>
      <c r="G9" s="102">
        <f>(B5/30*(18*20/12))</f>
        <v>2294.9533000000001</v>
      </c>
      <c r="H9" s="102">
        <f>B9*2</f>
        <v>2753.9439600000005</v>
      </c>
      <c r="I9" s="102">
        <f>(B9*2)+B9/2</f>
        <v>3442.4299500000006</v>
      </c>
      <c r="J9" s="103">
        <f>B9*3</f>
        <v>4130.9159400000008</v>
      </c>
    </row>
    <row r="10" spans="1:11" x14ac:dyDescent="0.25">
      <c r="A10" s="54" t="s">
        <v>163</v>
      </c>
      <c r="B10" s="99">
        <f>'Cálculo Seg. acidentes trabalho'!B14</f>
        <v>207.71332681416669</v>
      </c>
      <c r="C10" s="12" t="s">
        <v>180</v>
      </c>
      <c r="D10" s="99">
        <f>B10</f>
        <v>207.71332681416669</v>
      </c>
      <c r="E10" s="99">
        <f>B10*(15/12)</f>
        <v>259.64165851770838</v>
      </c>
      <c r="F10" s="99">
        <f>B10*1.5</f>
        <v>311.56999022125001</v>
      </c>
      <c r="G10" s="99">
        <f>B10*(20/12)</f>
        <v>346.18887802361115</v>
      </c>
      <c r="H10" s="99">
        <f>B10*2</f>
        <v>415.42665362833338</v>
      </c>
      <c r="I10" s="100">
        <f>(B10*2)+B10/2</f>
        <v>519.28331703541676</v>
      </c>
      <c r="J10" s="101">
        <f>B10*3</f>
        <v>623.13998044250002</v>
      </c>
    </row>
    <row r="11" spans="1:11" ht="14.4" x14ac:dyDescent="0.3">
      <c r="A11" s="117" t="s">
        <v>40</v>
      </c>
      <c r="B11" s="118">
        <f>B5</f>
        <v>2294.9533000000001</v>
      </c>
      <c r="C11" s="84" t="s">
        <v>159</v>
      </c>
      <c r="D11" s="102">
        <f>B11</f>
        <v>2294.9533000000001</v>
      </c>
      <c r="E11" s="102">
        <f>B11</f>
        <v>2294.9533000000001</v>
      </c>
      <c r="F11" s="102">
        <f>B11</f>
        <v>2294.9533000000001</v>
      </c>
      <c r="G11" s="102">
        <f>B11</f>
        <v>2294.9533000000001</v>
      </c>
      <c r="H11" s="102">
        <f>B11</f>
        <v>2294.9533000000001</v>
      </c>
      <c r="I11" s="102">
        <f>D11</f>
        <v>2294.9533000000001</v>
      </c>
      <c r="J11" s="103">
        <f>B11</f>
        <v>2294.9533000000001</v>
      </c>
    </row>
    <row r="12" spans="1:11" ht="14.4" x14ac:dyDescent="0.3">
      <c r="A12" s="117" t="s">
        <v>181</v>
      </c>
      <c r="B12" s="118">
        <f>B5</f>
        <v>2294.9533000000001</v>
      </c>
      <c r="C12" s="84" t="s">
        <v>159</v>
      </c>
      <c r="D12" s="102">
        <f>B12</f>
        <v>2294.9533000000001</v>
      </c>
      <c r="E12" s="102">
        <f>B12</f>
        <v>2294.9533000000001</v>
      </c>
      <c r="F12" s="102">
        <f>B12</f>
        <v>2294.9533000000001</v>
      </c>
      <c r="G12" s="102">
        <f>B12</f>
        <v>2294.9533000000001</v>
      </c>
      <c r="H12" s="102">
        <f>B12</f>
        <v>2294.9533000000001</v>
      </c>
      <c r="I12" s="102">
        <f>D12</f>
        <v>2294.9533000000001</v>
      </c>
      <c r="J12" s="103">
        <f>B12</f>
        <v>2294.9533000000001</v>
      </c>
    </row>
    <row r="13" spans="1:11" ht="14.4" x14ac:dyDescent="0.3">
      <c r="A13" s="117" t="s">
        <v>182</v>
      </c>
      <c r="B13" s="118">
        <f>B5</f>
        <v>2294.9533000000001</v>
      </c>
      <c r="C13" s="84" t="s">
        <v>159</v>
      </c>
      <c r="D13" s="102">
        <f>B13</f>
        <v>2294.9533000000001</v>
      </c>
      <c r="E13" s="102">
        <f>B13</f>
        <v>2294.9533000000001</v>
      </c>
      <c r="F13" s="102">
        <f>B13</f>
        <v>2294.9533000000001</v>
      </c>
      <c r="G13" s="102">
        <f>B13</f>
        <v>2294.9533000000001</v>
      </c>
      <c r="H13" s="102">
        <f>B13</f>
        <v>2294.9533000000001</v>
      </c>
      <c r="I13" s="102">
        <f>D13</f>
        <v>2294.9533000000001</v>
      </c>
      <c r="J13" s="103">
        <f>B13</f>
        <v>2294.9533000000001</v>
      </c>
    </row>
    <row r="14" spans="1:11" x14ac:dyDescent="0.25">
      <c r="A14" s="54" t="s">
        <v>199</v>
      </c>
      <c r="B14" s="14">
        <v>0.23749999999999999</v>
      </c>
      <c r="C14" s="12" t="s">
        <v>162</v>
      </c>
      <c r="D14" s="104">
        <f>B14*(D8+D7+D5)</f>
        <v>7630.7197225</v>
      </c>
      <c r="E14" s="104">
        <f>B14*(E8+E7+E5)</f>
        <v>9538.3996531249995</v>
      </c>
      <c r="F14" s="104">
        <f>B14*(F8+F7+F5)</f>
        <v>11446.079583750001</v>
      </c>
      <c r="G14" s="104">
        <f>B14*(G8+G7+G5)</f>
        <v>12717.866204166668</v>
      </c>
      <c r="H14" s="104">
        <f>(H5+H7+H8)*B14</f>
        <v>15261.439445000002</v>
      </c>
      <c r="I14" s="104">
        <f>B14*(I5+I7+I8)</f>
        <v>19076.799306249999</v>
      </c>
      <c r="J14" s="101">
        <f>B14*(J8+J7+J5)</f>
        <v>22892.159167500002</v>
      </c>
      <c r="K14" s="6"/>
    </row>
    <row r="15" spans="1:11" x14ac:dyDescent="0.25">
      <c r="A15" s="82" t="s">
        <v>200</v>
      </c>
      <c r="B15" s="128">
        <v>0.23749999999999999</v>
      </c>
      <c r="C15" s="82" t="s">
        <v>196</v>
      </c>
      <c r="D15" s="129">
        <f>B15*(D11+D12+D13)</f>
        <v>1635.15422625</v>
      </c>
      <c r="E15" s="129">
        <f>B15*(E11+E12+E13)</f>
        <v>1635.15422625</v>
      </c>
      <c r="F15" s="129">
        <f>B15*(F11+F12+F13)</f>
        <v>1635.15422625</v>
      </c>
      <c r="G15" s="129">
        <f>B15*(G11+G12+G13)</f>
        <v>1635.15422625</v>
      </c>
      <c r="H15" s="129">
        <f>B15*(H11+H12+H13)</f>
        <v>1635.15422625</v>
      </c>
      <c r="I15" s="129">
        <f>B15*(I11+I12+I13)</f>
        <v>1635.15422625</v>
      </c>
      <c r="J15" s="129">
        <f>B15*(J11+J12+J13)</f>
        <v>1635.15422625</v>
      </c>
      <c r="K15" s="6"/>
    </row>
    <row r="16" spans="1:11" x14ac:dyDescent="0.25">
      <c r="A16" s="82" t="s">
        <v>41</v>
      </c>
      <c r="B16" s="83">
        <f>B5*1%</f>
        <v>22.949533000000002</v>
      </c>
      <c r="C16" s="84" t="s">
        <v>160</v>
      </c>
      <c r="D16" s="102">
        <f>B16*12</f>
        <v>275.39439600000003</v>
      </c>
      <c r="E16" s="102">
        <f>B16*15</f>
        <v>344.24299500000006</v>
      </c>
      <c r="F16" s="102">
        <f>B16*18</f>
        <v>413.09159400000004</v>
      </c>
      <c r="G16" s="102">
        <f>B16*20</f>
        <v>458.99066000000005</v>
      </c>
      <c r="H16" s="102">
        <f>B16*24</f>
        <v>550.78879200000006</v>
      </c>
      <c r="I16" s="102">
        <f>B16*30</f>
        <v>688.48599000000013</v>
      </c>
      <c r="J16" s="103">
        <f>B16*36</f>
        <v>826.18318800000009</v>
      </c>
    </row>
    <row r="17" spans="1:19" x14ac:dyDescent="0.25">
      <c r="A17" s="13" t="s">
        <v>165</v>
      </c>
      <c r="B17" s="134">
        <v>100</v>
      </c>
      <c r="C17" s="12" t="s">
        <v>164</v>
      </c>
      <c r="D17" s="99">
        <f>B17</f>
        <v>100</v>
      </c>
      <c r="E17" s="99">
        <f>B17</f>
        <v>100</v>
      </c>
      <c r="F17" s="99">
        <f>B17</f>
        <v>100</v>
      </c>
      <c r="G17" s="99">
        <f>B17</f>
        <v>100</v>
      </c>
      <c r="H17" s="99">
        <v>100</v>
      </c>
      <c r="I17" s="99">
        <f>B17</f>
        <v>100</v>
      </c>
      <c r="J17" s="99">
        <f>B17</f>
        <v>100</v>
      </c>
    </row>
    <row r="18" spans="1:19" x14ac:dyDescent="0.25">
      <c r="A18" s="190" t="s">
        <v>133</v>
      </c>
      <c r="B18" s="191"/>
      <c r="C18" s="192"/>
      <c r="D18" s="105">
        <f t="shared" ref="D18:J18" si="0">SUM(D5:D17)</f>
        <v>51692.159751564177</v>
      </c>
      <c r="E18" s="105">
        <f t="shared" si="0"/>
        <v>62493.196157892715</v>
      </c>
      <c r="F18" s="105">
        <f>SUM(F5:F17)</f>
        <v>73228.232564221253</v>
      </c>
      <c r="G18" s="105">
        <f>SUM(G5:G17)</f>
        <v>80362.923501773621</v>
      </c>
      <c r="H18" s="105">
        <f>SUM(H5:H17)</f>
        <v>94764.305376878328</v>
      </c>
      <c r="I18" s="105">
        <f>SUM(I5:I17)</f>
        <v>116366.3781895354</v>
      </c>
      <c r="J18" s="105">
        <f t="shared" si="0"/>
        <v>137836.45100219248</v>
      </c>
    </row>
    <row r="19" spans="1:19" x14ac:dyDescent="0.25">
      <c r="D19" s="141"/>
      <c r="E19" s="141"/>
      <c r="F19" s="141"/>
      <c r="G19" s="141"/>
      <c r="H19" s="141"/>
      <c r="I19" s="141"/>
      <c r="J19" s="141"/>
      <c r="K19" s="91"/>
      <c r="S19" s="91"/>
    </row>
    <row r="20" spans="1:19" x14ac:dyDescent="0.25">
      <c r="A20" s="195" t="s">
        <v>176</v>
      </c>
      <c r="B20" s="195"/>
      <c r="C20" s="195"/>
      <c r="D20" s="142"/>
      <c r="E20" s="142"/>
      <c r="F20" s="142"/>
      <c r="G20" s="142"/>
      <c r="H20" s="142"/>
      <c r="I20" s="142"/>
      <c r="J20" s="142"/>
      <c r="K20" s="91"/>
      <c r="S20" s="91"/>
    </row>
    <row r="21" spans="1:19" ht="12.75" customHeight="1" x14ac:dyDescent="0.25">
      <c r="A21" s="195"/>
      <c r="B21" s="195"/>
      <c r="C21" s="195"/>
      <c r="D21" s="142"/>
      <c r="E21" s="142"/>
      <c r="F21" s="142"/>
      <c r="G21" s="142"/>
      <c r="H21" s="142"/>
      <c r="I21" s="142"/>
      <c r="J21" s="142"/>
      <c r="K21" s="91"/>
      <c r="S21" s="91"/>
    </row>
    <row r="22" spans="1:19" ht="21" customHeight="1" x14ac:dyDescent="0.25">
      <c r="D22" s="142"/>
      <c r="E22" s="142"/>
      <c r="F22" s="142"/>
      <c r="G22" s="142"/>
      <c r="H22" s="142"/>
      <c r="I22" s="142"/>
      <c r="J22" s="142"/>
      <c r="K22" s="91"/>
      <c r="L22" s="196"/>
      <c r="M22" s="196"/>
      <c r="N22" s="196"/>
      <c r="O22" s="196"/>
      <c r="P22" s="196"/>
      <c r="Q22" s="196"/>
      <c r="R22" s="197"/>
      <c r="S22" s="108"/>
    </row>
    <row r="23" spans="1:19" s="24" customFormat="1" ht="15" customHeight="1" x14ac:dyDescent="0.3">
      <c r="K23"/>
      <c r="L23"/>
      <c r="M23"/>
      <c r="N23"/>
      <c r="O23"/>
      <c r="P23"/>
      <c r="Q23"/>
      <c r="R23"/>
      <c r="S23" s="109"/>
    </row>
    <row r="24" spans="1:19" ht="14.4" x14ac:dyDescent="0.3">
      <c r="A24" s="24"/>
      <c r="C24" s="24"/>
    </row>
    <row r="25" spans="1:19" ht="14.4" x14ac:dyDescent="0.3">
      <c r="A25" s="24"/>
      <c r="C25" s="24"/>
      <c r="F25" s="6"/>
      <c r="G25" s="6"/>
      <c r="H25" s="6"/>
      <c r="I25" s="6"/>
    </row>
    <row r="26" spans="1:19" ht="14.4" x14ac:dyDescent="0.3">
      <c r="A26" s="24"/>
      <c r="C26" s="24"/>
    </row>
    <row r="27" spans="1:19" ht="14.4" x14ac:dyDescent="0.3">
      <c r="A27" s="24"/>
      <c r="C27" s="24"/>
    </row>
    <row r="28" spans="1:19" ht="14.4" x14ac:dyDescent="0.3">
      <c r="A28" s="24"/>
      <c r="C28" s="24"/>
    </row>
    <row r="29" spans="1:19" ht="14.4" x14ac:dyDescent="0.3">
      <c r="A29" s="24"/>
      <c r="C29" s="24"/>
    </row>
    <row r="30" spans="1:19" ht="14.4" x14ac:dyDescent="0.3">
      <c r="C30" s="24"/>
    </row>
    <row r="31" spans="1:19" ht="14.4" x14ac:dyDescent="0.3">
      <c r="C31" s="24"/>
    </row>
  </sheetData>
  <mergeCells count="5">
    <mergeCell ref="A18:C18"/>
    <mergeCell ref="A2:J2"/>
    <mergeCell ref="A1:B1"/>
    <mergeCell ref="A20:C21"/>
    <mergeCell ref="L22:R2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'Nivel Remuneratório Doutorado'!$G$4:$G$53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6"/>
  <sheetViews>
    <sheetView showGridLines="0" topLeftCell="B1" workbookViewId="0">
      <selection activeCell="C27" sqref="C27"/>
    </sheetView>
  </sheetViews>
  <sheetFormatPr defaultColWidth="8.5546875" defaultRowHeight="13.2" x14ac:dyDescent="0.25"/>
  <cols>
    <col min="1" max="1" width="41.5546875" customWidth="1"/>
    <col min="2" max="2" width="13.44140625" customWidth="1"/>
    <col min="3" max="3" width="72.5546875" customWidth="1"/>
    <col min="4" max="10" width="15.5546875" customWidth="1"/>
    <col min="11" max="11" width="7.5546875" customWidth="1"/>
    <col min="12" max="12" width="15.44140625" customWidth="1"/>
    <col min="13" max="13" width="2.44140625" customWidth="1"/>
    <col min="20" max="20" width="11.44140625" customWidth="1"/>
    <col min="21" max="21" width="2.44140625" customWidth="1"/>
  </cols>
  <sheetData>
    <row r="2" spans="1:12" ht="21" x14ac:dyDescent="0.4">
      <c r="A2" s="193" t="s">
        <v>150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2" ht="21.6" thickBot="1" x14ac:dyDescent="0.45">
      <c r="A3" s="20"/>
      <c r="B3" s="20"/>
      <c r="C3" s="20"/>
      <c r="D3" s="20"/>
      <c r="E3" s="20"/>
      <c r="F3" s="114"/>
      <c r="G3" s="114"/>
      <c r="H3" s="115"/>
      <c r="I3" s="20"/>
      <c r="J3" s="20"/>
    </row>
    <row r="4" spans="1:12" ht="21.6" thickBot="1" x14ac:dyDescent="0.45">
      <c r="A4" s="67" t="s">
        <v>145</v>
      </c>
      <c r="B4" s="68" t="s">
        <v>146</v>
      </c>
      <c r="C4" s="69" t="s">
        <v>147</v>
      </c>
      <c r="D4" s="70" t="s">
        <v>148</v>
      </c>
      <c r="E4" s="20"/>
      <c r="F4" s="114"/>
      <c r="G4" s="114"/>
      <c r="H4" s="115"/>
      <c r="I4" s="20"/>
      <c r="J4" s="116"/>
    </row>
    <row r="5" spans="1:12" ht="13.8" thickBot="1" x14ac:dyDescent="0.3">
      <c r="A5" s="76" t="s">
        <v>149</v>
      </c>
      <c r="B5" s="77">
        <v>2</v>
      </c>
      <c r="C5" s="132" t="s">
        <v>204</v>
      </c>
      <c r="D5" s="133">
        <v>1385.99</v>
      </c>
    </row>
    <row r="6" spans="1:12" x14ac:dyDescent="0.25">
      <c r="A6" s="75"/>
      <c r="B6" s="72"/>
      <c r="C6" s="73"/>
      <c r="D6" s="74"/>
    </row>
    <row r="7" spans="1:12" x14ac:dyDescent="0.25">
      <c r="A7" s="71"/>
      <c r="B7" s="72"/>
      <c r="C7" s="73"/>
      <c r="D7" s="74"/>
    </row>
    <row r="8" spans="1:12" ht="14.4" x14ac:dyDescent="0.3">
      <c r="A8" s="55" t="s">
        <v>151</v>
      </c>
      <c r="B8" s="56">
        <v>15</v>
      </c>
      <c r="C8" s="56" t="s">
        <v>33</v>
      </c>
      <c r="D8" s="57" t="s">
        <v>34</v>
      </c>
      <c r="E8" s="57" t="s">
        <v>104</v>
      </c>
      <c r="F8" s="57" t="s">
        <v>107</v>
      </c>
      <c r="G8" s="57" t="s">
        <v>108</v>
      </c>
      <c r="H8" s="57" t="s">
        <v>184</v>
      </c>
      <c r="I8" s="57" t="s">
        <v>105</v>
      </c>
      <c r="J8" s="58" t="s">
        <v>106</v>
      </c>
    </row>
    <row r="9" spans="1:12" x14ac:dyDescent="0.25">
      <c r="A9" s="54" t="s">
        <v>152</v>
      </c>
      <c r="B9" s="131">
        <f>D5</f>
        <v>1385.99</v>
      </c>
      <c r="C9" s="11" t="s">
        <v>143</v>
      </c>
      <c r="D9" s="99">
        <f>B9*12</f>
        <v>16631.88</v>
      </c>
      <c r="E9" s="99">
        <f>B9*15</f>
        <v>20789.849999999999</v>
      </c>
      <c r="F9" s="99">
        <f>B9*18</f>
        <v>24947.82</v>
      </c>
      <c r="G9" s="99">
        <f>B9*20</f>
        <v>27719.8</v>
      </c>
      <c r="H9" s="99">
        <f>B9*24</f>
        <v>33263.760000000002</v>
      </c>
      <c r="I9" s="100">
        <f>B9*30</f>
        <v>41579.699999999997</v>
      </c>
      <c r="J9" s="101">
        <f>B9*36</f>
        <v>49895.64</v>
      </c>
      <c r="L9" s="106"/>
    </row>
    <row r="10" spans="1:12" x14ac:dyDescent="0.25">
      <c r="A10" s="54" t="s">
        <v>35</v>
      </c>
      <c r="B10" s="131">
        <f>6*22</f>
        <v>132</v>
      </c>
      <c r="C10" s="12" t="s">
        <v>144</v>
      </c>
      <c r="D10" s="99">
        <f>B10*11</f>
        <v>1452</v>
      </c>
      <c r="E10" s="99">
        <f>B10*14</f>
        <v>1848</v>
      </c>
      <c r="F10" s="99">
        <f>B10*16+B10/2</f>
        <v>2178</v>
      </c>
      <c r="G10" s="99">
        <f>B10*18</f>
        <v>2376</v>
      </c>
      <c r="H10" s="99">
        <f>B10*22</f>
        <v>2904</v>
      </c>
      <c r="I10" s="100">
        <f>B10*28</f>
        <v>3696</v>
      </c>
      <c r="J10" s="101">
        <f>B10*33</f>
        <v>4356</v>
      </c>
    </row>
    <row r="11" spans="1:12" x14ac:dyDescent="0.25">
      <c r="A11" s="54" t="s">
        <v>36</v>
      </c>
      <c r="B11" s="131">
        <f>B9</f>
        <v>1385.99</v>
      </c>
      <c r="C11" s="12" t="s">
        <v>156</v>
      </c>
      <c r="D11" s="99">
        <f>B11</f>
        <v>1385.99</v>
      </c>
      <c r="E11" s="99">
        <f>B9*15/12</f>
        <v>1732.4875</v>
      </c>
      <c r="F11" s="99">
        <f>B11*18/12</f>
        <v>2078.9850000000001</v>
      </c>
      <c r="G11" s="99">
        <f>B11*20/12</f>
        <v>2309.9833333333331</v>
      </c>
      <c r="H11" s="99">
        <f>B11*2</f>
        <v>2771.98</v>
      </c>
      <c r="I11" s="100">
        <f>(D11*2)+D11/2</f>
        <v>3464.9749999999999</v>
      </c>
      <c r="J11" s="101">
        <f>D11*3</f>
        <v>4157.97</v>
      </c>
    </row>
    <row r="12" spans="1:12" x14ac:dyDescent="0.25">
      <c r="A12" s="54" t="s">
        <v>37</v>
      </c>
      <c r="B12" s="131">
        <f>B9/12</f>
        <v>115.49916666666667</v>
      </c>
      <c r="C12" s="12" t="s">
        <v>157</v>
      </c>
      <c r="D12" s="99">
        <f>B12*12</f>
        <v>1385.99</v>
      </c>
      <c r="E12" s="99">
        <f>B12*15</f>
        <v>1732.4875</v>
      </c>
      <c r="F12" s="99">
        <f>B12*18</f>
        <v>2078.9850000000001</v>
      </c>
      <c r="G12" s="99">
        <f>B12*20</f>
        <v>2309.9833333333336</v>
      </c>
      <c r="H12" s="99">
        <f>B12*24</f>
        <v>2771.98</v>
      </c>
      <c r="I12" s="100">
        <f>B12*30</f>
        <v>3464.9749999999999</v>
      </c>
      <c r="J12" s="101">
        <f>B12*36</f>
        <v>4157.97</v>
      </c>
    </row>
    <row r="13" spans="1:12" x14ac:dyDescent="0.25">
      <c r="A13" s="82" t="s">
        <v>38</v>
      </c>
      <c r="B13" s="102">
        <f>(B9/30)*18</f>
        <v>831.59399999999994</v>
      </c>
      <c r="C13" s="84" t="s">
        <v>158</v>
      </c>
      <c r="D13" s="102">
        <f>B13</f>
        <v>831.59399999999994</v>
      </c>
      <c r="E13" s="102">
        <f>B13+B13/4</f>
        <v>1039.4924999999998</v>
      </c>
      <c r="F13" s="102">
        <f>B13+B13/2</f>
        <v>1247.3909999999998</v>
      </c>
      <c r="G13" s="102">
        <f>B13*20/12</f>
        <v>1385.9899999999998</v>
      </c>
      <c r="H13" s="102">
        <f>B13*2</f>
        <v>1663.1879999999999</v>
      </c>
      <c r="I13" s="102">
        <f>(B13*2)+B13/2</f>
        <v>2078.9849999999997</v>
      </c>
      <c r="J13" s="103">
        <f>B13*3</f>
        <v>2494.7819999999997</v>
      </c>
    </row>
    <row r="14" spans="1:12" x14ac:dyDescent="0.25">
      <c r="A14" s="54" t="s">
        <v>39</v>
      </c>
      <c r="B14" s="100">
        <v>120</v>
      </c>
      <c r="C14" s="12" t="s">
        <v>180</v>
      </c>
      <c r="D14" s="99">
        <f>B14</f>
        <v>120</v>
      </c>
      <c r="E14" s="99">
        <f>(D14/2)+D14</f>
        <v>180</v>
      </c>
      <c r="F14" s="99">
        <f>B14*1.5</f>
        <v>180</v>
      </c>
      <c r="G14" s="99">
        <f>B14*20/12</f>
        <v>200</v>
      </c>
      <c r="H14" s="99">
        <f>B14*2</f>
        <v>240</v>
      </c>
      <c r="I14" s="100">
        <f>(B14*2)+B14/2</f>
        <v>300</v>
      </c>
      <c r="J14" s="101">
        <f>B14*3</f>
        <v>360</v>
      </c>
    </row>
    <row r="15" spans="1:12" ht="14.4" x14ac:dyDescent="0.3">
      <c r="A15" s="117" t="s">
        <v>40</v>
      </c>
      <c r="B15" s="118">
        <f>B9</f>
        <v>1385.99</v>
      </c>
      <c r="C15" s="84" t="s">
        <v>159</v>
      </c>
      <c r="D15" s="102">
        <f>B15</f>
        <v>1385.99</v>
      </c>
      <c r="E15" s="102">
        <f>B15</f>
        <v>1385.99</v>
      </c>
      <c r="F15" s="102">
        <f>B15</f>
        <v>1385.99</v>
      </c>
      <c r="G15" s="102">
        <f>B15</f>
        <v>1385.99</v>
      </c>
      <c r="H15" s="102">
        <f>B15</f>
        <v>1385.99</v>
      </c>
      <c r="I15" s="102">
        <f>D15</f>
        <v>1385.99</v>
      </c>
      <c r="J15" s="103">
        <f>B15</f>
        <v>1385.99</v>
      </c>
    </row>
    <row r="16" spans="1:12" ht="14.4" x14ac:dyDescent="0.3">
      <c r="A16" s="117" t="s">
        <v>114</v>
      </c>
      <c r="B16" s="118">
        <f>B9</f>
        <v>1385.99</v>
      </c>
      <c r="C16" s="84" t="s">
        <v>159</v>
      </c>
      <c r="D16" s="102">
        <f>B16</f>
        <v>1385.99</v>
      </c>
      <c r="E16" s="102">
        <f>B16</f>
        <v>1385.99</v>
      </c>
      <c r="F16" s="102">
        <f>B16</f>
        <v>1385.99</v>
      </c>
      <c r="G16" s="102">
        <f>B16</f>
        <v>1385.99</v>
      </c>
      <c r="H16" s="102">
        <f>B16</f>
        <v>1385.99</v>
      </c>
      <c r="I16" s="102">
        <f>D16</f>
        <v>1385.99</v>
      </c>
      <c r="J16" s="103">
        <f>B16</f>
        <v>1385.99</v>
      </c>
    </row>
    <row r="17" spans="1:11" ht="14.4" x14ac:dyDescent="0.3">
      <c r="A17" s="117" t="s">
        <v>115</v>
      </c>
      <c r="B17" s="118">
        <f>B9</f>
        <v>1385.99</v>
      </c>
      <c r="C17" s="84" t="s">
        <v>159</v>
      </c>
      <c r="D17" s="102">
        <f>B17</f>
        <v>1385.99</v>
      </c>
      <c r="E17" s="102">
        <f>B17</f>
        <v>1385.99</v>
      </c>
      <c r="F17" s="102">
        <f>B17</f>
        <v>1385.99</v>
      </c>
      <c r="G17" s="102">
        <f>B17</f>
        <v>1385.99</v>
      </c>
      <c r="H17" s="102">
        <f>B17</f>
        <v>1385.99</v>
      </c>
      <c r="I17" s="102">
        <f>D17</f>
        <v>1385.99</v>
      </c>
      <c r="J17" s="103">
        <f>B17</f>
        <v>1385.99</v>
      </c>
    </row>
    <row r="18" spans="1:11" x14ac:dyDescent="0.25">
      <c r="A18" s="54" t="s">
        <v>199</v>
      </c>
      <c r="B18" s="14">
        <v>0.23749999999999999</v>
      </c>
      <c r="C18" s="12" t="s">
        <v>162</v>
      </c>
      <c r="D18" s="104">
        <f>(D9+D11+D12)*B18</f>
        <v>4608.4167500000012</v>
      </c>
      <c r="E18" s="104">
        <f>(E9+E11+E12)*B18</f>
        <v>5760.5209374999995</v>
      </c>
      <c r="F18" s="104">
        <f>(F9+F11+F12)*B18</f>
        <v>6912.6251249999996</v>
      </c>
      <c r="G18" s="104">
        <f>(G9+G11+G12)*B18</f>
        <v>7680.694583333333</v>
      </c>
      <c r="H18" s="104">
        <f>(H9+H11+H12)*B18</f>
        <v>9216.8335000000025</v>
      </c>
      <c r="I18" s="100">
        <f>(I9+I11+I12)*B18</f>
        <v>11521.041874999999</v>
      </c>
      <c r="J18" s="101">
        <f>(J9+J11+J12)*B18</f>
        <v>13825.250249999999</v>
      </c>
      <c r="K18" s="6"/>
    </row>
    <row r="19" spans="1:11" x14ac:dyDescent="0.25">
      <c r="A19" s="82" t="s">
        <v>200</v>
      </c>
      <c r="B19" s="128">
        <v>0.23749999999999999</v>
      </c>
      <c r="C19" s="84" t="s">
        <v>162</v>
      </c>
      <c r="D19" s="102">
        <f>B19*(D15+D16+D17)</f>
        <v>987.517875</v>
      </c>
      <c r="E19" s="102">
        <f>B19*(E15+E16+E17)</f>
        <v>987.517875</v>
      </c>
      <c r="F19" s="102">
        <f>B19*(F15+F16+F17)</f>
        <v>987.517875</v>
      </c>
      <c r="G19" s="102">
        <f>B19*(G15+G16+G17)</f>
        <v>987.517875</v>
      </c>
      <c r="H19" s="102">
        <f>B19*(H15+H16+H17)</f>
        <v>987.517875</v>
      </c>
      <c r="I19" s="102">
        <f>B19*(I15+I16+I17)</f>
        <v>987.517875</v>
      </c>
      <c r="J19" s="102">
        <f>B19*(J15+J16+J17)</f>
        <v>987.517875</v>
      </c>
      <c r="K19" s="6"/>
    </row>
    <row r="20" spans="1:11" x14ac:dyDescent="0.25">
      <c r="A20" s="82" t="s">
        <v>41</v>
      </c>
      <c r="B20" s="83">
        <f>B9*1%</f>
        <v>13.8599</v>
      </c>
      <c r="C20" s="84" t="s">
        <v>160</v>
      </c>
      <c r="D20" s="102">
        <f>B20*12</f>
        <v>166.31880000000001</v>
      </c>
      <c r="E20" s="102">
        <f>B20*15</f>
        <v>207.89849999999998</v>
      </c>
      <c r="F20" s="102">
        <f>B20*18</f>
        <v>249.47819999999999</v>
      </c>
      <c r="G20" s="102">
        <f>B20*20</f>
        <v>277.19799999999998</v>
      </c>
      <c r="H20" s="102">
        <f>B20*24</f>
        <v>332.63760000000002</v>
      </c>
      <c r="I20" s="102">
        <f>B20*30</f>
        <v>415.79699999999997</v>
      </c>
      <c r="J20" s="103">
        <f>B20*36</f>
        <v>498.95639999999997</v>
      </c>
    </row>
    <row r="21" spans="1:11" x14ac:dyDescent="0.25">
      <c r="A21" s="13" t="s">
        <v>132</v>
      </c>
      <c r="B21" s="134">
        <v>100</v>
      </c>
      <c r="C21" s="12" t="s">
        <v>164</v>
      </c>
      <c r="D21" s="99">
        <f>B21</f>
        <v>100</v>
      </c>
      <c r="E21" s="99">
        <f>B21</f>
        <v>100</v>
      </c>
      <c r="F21" s="99">
        <f>B21</f>
        <v>100</v>
      </c>
      <c r="G21" s="99">
        <f>B21</f>
        <v>100</v>
      </c>
      <c r="H21" s="99">
        <v>100</v>
      </c>
      <c r="I21" s="99">
        <f>B21</f>
        <v>100</v>
      </c>
      <c r="J21" s="99">
        <f>B21</f>
        <v>100</v>
      </c>
    </row>
    <row r="22" spans="1:11" x14ac:dyDescent="0.25">
      <c r="A22" s="190" t="s">
        <v>133</v>
      </c>
      <c r="B22" s="191"/>
      <c r="C22" s="192"/>
      <c r="D22" s="105">
        <f>SUM(D9:D21)</f>
        <v>31827.677425000013</v>
      </c>
      <c r="E22" s="105">
        <f t="shared" ref="E22:G22" si="0">SUM(E9:E21)</f>
        <v>38536.224812500004</v>
      </c>
      <c r="F22" s="105">
        <f t="shared" si="0"/>
        <v>45118.772199999992</v>
      </c>
      <c r="G22" s="105">
        <f t="shared" si="0"/>
        <v>49505.137124999979</v>
      </c>
      <c r="H22" s="105">
        <f>SUM(H9:H21)</f>
        <v>58409.866975000004</v>
      </c>
      <c r="I22" s="105">
        <f>SUM(I9:I21)</f>
        <v>71766.961750000002</v>
      </c>
      <c r="J22" s="105">
        <f>SUM(J9:J21)</f>
        <v>84992.056525000007</v>
      </c>
    </row>
    <row r="23" spans="1:11" x14ac:dyDescent="0.25">
      <c r="D23" s="141"/>
      <c r="E23" s="141"/>
      <c r="F23" s="141"/>
      <c r="G23" s="141"/>
      <c r="H23" s="141"/>
      <c r="I23" s="141"/>
      <c r="J23" s="141"/>
    </row>
    <row r="24" spans="1:11" x14ac:dyDescent="0.25">
      <c r="D24" s="142"/>
      <c r="E24" s="142"/>
      <c r="F24" s="142"/>
      <c r="G24" s="142"/>
      <c r="H24" s="142"/>
      <c r="I24" s="142"/>
      <c r="J24" s="142"/>
    </row>
    <row r="25" spans="1:11" x14ac:dyDescent="0.25">
      <c r="D25" s="142"/>
      <c r="E25" s="142"/>
      <c r="F25" s="142"/>
      <c r="G25" s="142"/>
      <c r="H25" s="142"/>
      <c r="I25" s="142"/>
      <c r="J25" s="142"/>
    </row>
    <row r="26" spans="1:11" ht="12.75" customHeight="1" x14ac:dyDescent="0.25">
      <c r="D26" s="142"/>
      <c r="E26" s="142"/>
      <c r="F26" s="142"/>
      <c r="G26" s="142"/>
      <c r="H26" s="142"/>
      <c r="I26" s="142"/>
      <c r="J26" s="142"/>
    </row>
  </sheetData>
  <mergeCells count="2">
    <mergeCell ref="A2:J2"/>
    <mergeCell ref="A22:C22"/>
  </mergeCells>
  <conditionalFormatting sqref="B5:D7">
    <cfRule type="expression" dxfId="3" priority="3" stopIfTrue="1">
      <formula>LEN($B5)&gt;3</formula>
    </cfRule>
    <cfRule type="expression" dxfId="2" priority="4" stopIfTrue="1">
      <formula>LEN($B5)&lt;3</formula>
    </cfRule>
  </conditionalFormatting>
  <conditionalFormatting sqref="A5:A7">
    <cfRule type="expression" dxfId="1" priority="1" stopIfTrue="1">
      <formula>LEN($B5)&gt;3</formula>
    </cfRule>
    <cfRule type="expression" dxfId="0" priority="2" stopIfTrue="1">
      <formula>LEN($B5)&lt;3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I23"/>
  <sheetViews>
    <sheetView showGridLines="0" workbookViewId="0">
      <selection activeCell="P9" sqref="P9"/>
    </sheetView>
  </sheetViews>
  <sheetFormatPr defaultColWidth="8.5546875" defaultRowHeight="13.2" x14ac:dyDescent="0.25"/>
  <cols>
    <col min="1" max="1" width="3.44140625" customWidth="1"/>
    <col min="2" max="2" width="60.5546875" customWidth="1"/>
    <col min="3" max="13" width="12.5546875" customWidth="1"/>
    <col min="14" max="14" width="9.109375" customWidth="1"/>
    <col min="15" max="15" width="8.44140625" customWidth="1"/>
    <col min="16" max="16" width="14.5546875" customWidth="1"/>
    <col min="17" max="17" width="141.5546875" bestFit="1" customWidth="1"/>
    <col min="18" max="23" width="14.5546875" customWidth="1"/>
    <col min="24" max="24" width="14.5546875" style="6" customWidth="1"/>
    <col min="25" max="25" width="93.5546875" customWidth="1"/>
    <col min="26" max="32" width="8.5546875" customWidth="1"/>
  </cols>
  <sheetData>
    <row r="2" spans="1:35" ht="18" x14ac:dyDescent="0.35">
      <c r="B2" s="1" t="s">
        <v>138</v>
      </c>
    </row>
    <row r="3" spans="1:35" ht="32.25" customHeight="1" x14ac:dyDescent="0.25">
      <c r="B3" s="200" t="s">
        <v>167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35" x14ac:dyDescent="0.25">
      <c r="T4" s="21"/>
      <c r="U4" s="21"/>
      <c r="V4" s="21"/>
      <c r="W4" s="21"/>
    </row>
    <row r="5" spans="1:35" x14ac:dyDescent="0.25">
      <c r="B5" s="135" t="s">
        <v>215</v>
      </c>
      <c r="Q5" s="198"/>
      <c r="R5" s="199"/>
      <c r="S5" s="199"/>
      <c r="T5" s="199"/>
      <c r="U5" s="199"/>
      <c r="V5" s="199"/>
      <c r="W5" s="199"/>
      <c r="X5" s="19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" x14ac:dyDescent="0.35">
      <c r="B6" s="1"/>
      <c r="C6" s="209" t="s">
        <v>205</v>
      </c>
      <c r="D6" s="210"/>
      <c r="E6" s="210"/>
      <c r="F6" s="211"/>
      <c r="G6" s="209" t="s">
        <v>206</v>
      </c>
      <c r="H6" s="210"/>
      <c r="I6" s="210"/>
      <c r="J6" s="211"/>
      <c r="K6" s="209" t="s">
        <v>209</v>
      </c>
      <c r="L6" s="210"/>
      <c r="M6" s="210"/>
      <c r="N6" s="211"/>
      <c r="O6" s="136"/>
      <c r="P6" s="13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35" ht="43.2" x14ac:dyDescent="0.25">
      <c r="B7" s="2" t="s">
        <v>0</v>
      </c>
      <c r="C7" s="3" t="s">
        <v>210</v>
      </c>
      <c r="D7" s="3" t="s">
        <v>211</v>
      </c>
      <c r="E7" s="7" t="s">
        <v>2</v>
      </c>
      <c r="F7" s="7" t="s">
        <v>214</v>
      </c>
      <c r="G7" s="3" t="s">
        <v>210</v>
      </c>
      <c r="H7" s="3" t="s">
        <v>197</v>
      </c>
      <c r="I7" s="7" t="s">
        <v>2</v>
      </c>
      <c r="J7" s="7" t="s">
        <v>214</v>
      </c>
      <c r="K7" s="3" t="s">
        <v>1</v>
      </c>
      <c r="L7" s="3" t="s">
        <v>197</v>
      </c>
      <c r="M7" s="3" t="s">
        <v>2</v>
      </c>
      <c r="N7" s="7" t="s">
        <v>214</v>
      </c>
      <c r="O7" s="3" t="s">
        <v>213</v>
      </c>
      <c r="P7" s="3" t="s">
        <v>207</v>
      </c>
      <c r="Q7" s="10" t="s">
        <v>208</v>
      </c>
      <c r="R7" s="5"/>
      <c r="S7" s="5"/>
      <c r="T7" s="5"/>
      <c r="U7" s="5"/>
      <c r="V7" s="5"/>
      <c r="W7" s="5"/>
      <c r="X7" s="5"/>
      <c r="Y7" s="5"/>
    </row>
    <row r="8" spans="1:35" ht="30" customHeight="1" x14ac:dyDescent="0.25">
      <c r="B8" s="66" t="s">
        <v>139</v>
      </c>
      <c r="C8" s="8">
        <v>1851</v>
      </c>
      <c r="D8" s="8">
        <v>157.26</v>
      </c>
      <c r="E8" s="9">
        <f>C8+D8</f>
        <v>2008.26</v>
      </c>
      <c r="F8" s="9">
        <v>0</v>
      </c>
      <c r="G8" s="8">
        <v>1906</v>
      </c>
      <c r="H8" s="8">
        <v>161.91999999999999</v>
      </c>
      <c r="I8" s="9">
        <f>G8+H8</f>
        <v>2067.92</v>
      </c>
      <c r="J8" s="9">
        <v>0</v>
      </c>
      <c r="K8" s="8">
        <v>1961</v>
      </c>
      <c r="L8" s="8">
        <v>166.72</v>
      </c>
      <c r="M8" s="9">
        <f>K8+L8</f>
        <v>2127.7199999999998</v>
      </c>
      <c r="N8" s="9">
        <v>0</v>
      </c>
      <c r="O8" s="9"/>
      <c r="P8" s="9">
        <f>((E8*F8)+(I8*J8)+(M8*N8))*O8</f>
        <v>0</v>
      </c>
      <c r="Q8" s="93" t="s">
        <v>175</v>
      </c>
      <c r="X8"/>
    </row>
    <row r="9" spans="1:35" ht="40.35" customHeight="1" x14ac:dyDescent="0.25">
      <c r="B9" s="66" t="s">
        <v>140</v>
      </c>
      <c r="C9" s="8">
        <v>1309.6400000000001</v>
      </c>
      <c r="D9" s="8">
        <v>157.26</v>
      </c>
      <c r="E9" s="9">
        <f>SUM(C9:D9)</f>
        <v>1466.9</v>
      </c>
      <c r="F9" s="9">
        <v>12</v>
      </c>
      <c r="G9" s="8">
        <v>1364.64</v>
      </c>
      <c r="H9" s="8">
        <v>161.91999999999999</v>
      </c>
      <c r="I9" s="9">
        <f>SUM(G9:H9)</f>
        <v>1526.5600000000002</v>
      </c>
      <c r="J9" s="9">
        <v>8</v>
      </c>
      <c r="K9" s="8">
        <v>1419.64</v>
      </c>
      <c r="L9" s="8">
        <v>166.72</v>
      </c>
      <c r="M9" s="9">
        <f>SUM(K9:L9)</f>
        <v>1586.3600000000001</v>
      </c>
      <c r="N9" s="9">
        <v>0</v>
      </c>
      <c r="O9" s="9">
        <v>2</v>
      </c>
      <c r="P9" s="9">
        <f t="shared" ref="P9:P11" si="0">((E9*F9)+(I9*J9)+(M9*N9))*O9</f>
        <v>59630.560000000012</v>
      </c>
      <c r="Q9" s="202" t="s">
        <v>174</v>
      </c>
      <c r="X9"/>
    </row>
    <row r="10" spans="1:35" ht="40.35" customHeight="1" x14ac:dyDescent="0.25">
      <c r="B10" s="66" t="s">
        <v>141</v>
      </c>
      <c r="C10" s="8">
        <v>1040.98</v>
      </c>
      <c r="D10" s="8">
        <v>157.26</v>
      </c>
      <c r="E10" s="9">
        <f>SUM(C10:D10)</f>
        <v>1198.24</v>
      </c>
      <c r="F10" s="9">
        <v>0</v>
      </c>
      <c r="G10" s="8">
        <v>1095.98</v>
      </c>
      <c r="H10" s="8">
        <v>161.91999999999999</v>
      </c>
      <c r="I10" s="9">
        <f>SUM(G10:H10)</f>
        <v>1257.9000000000001</v>
      </c>
      <c r="J10" s="9">
        <v>0</v>
      </c>
      <c r="K10" s="8">
        <v>1150.98</v>
      </c>
      <c r="L10" s="8">
        <v>166.72</v>
      </c>
      <c r="M10" s="9">
        <f>SUM(K10:L10)</f>
        <v>1317.7</v>
      </c>
      <c r="N10" s="9">
        <v>0</v>
      </c>
      <c r="O10" s="9"/>
      <c r="P10" s="9">
        <f t="shared" si="0"/>
        <v>0</v>
      </c>
      <c r="Q10" s="203"/>
      <c r="X10"/>
    </row>
    <row r="11" spans="1:35" ht="30" customHeight="1" thickBot="1" x14ac:dyDescent="0.3">
      <c r="B11" s="66" t="s">
        <v>142</v>
      </c>
      <c r="C11" s="8">
        <v>651.12</v>
      </c>
      <c r="D11" s="8">
        <v>157.26</v>
      </c>
      <c r="E11" s="9">
        <f>SUM(C11:D11)</f>
        <v>808.38</v>
      </c>
      <c r="F11" s="9">
        <v>0</v>
      </c>
      <c r="G11" s="8">
        <v>706.12</v>
      </c>
      <c r="H11" s="8">
        <v>161.91999999999999</v>
      </c>
      <c r="I11" s="9">
        <f>SUM(G11:H11)</f>
        <v>868.04</v>
      </c>
      <c r="J11" s="9">
        <v>0</v>
      </c>
      <c r="K11" s="8">
        <v>761.12</v>
      </c>
      <c r="L11" s="8">
        <v>166.72</v>
      </c>
      <c r="M11" s="137">
        <f>SUM(K11:L11)</f>
        <v>927.84</v>
      </c>
      <c r="N11" s="9">
        <v>0</v>
      </c>
      <c r="O11" s="9"/>
      <c r="P11" s="9">
        <f t="shared" si="0"/>
        <v>0</v>
      </c>
      <c r="Q11" s="93" t="s">
        <v>173</v>
      </c>
      <c r="X11"/>
    </row>
    <row r="12" spans="1:35" ht="18" customHeight="1" thickTop="1" x14ac:dyDescent="0.25">
      <c r="B12" s="212" t="s">
        <v>216</v>
      </c>
      <c r="C12" s="212"/>
      <c r="D12" s="212"/>
      <c r="M12" s="208" t="s">
        <v>2</v>
      </c>
      <c r="N12" s="140"/>
      <c r="O12" s="140"/>
      <c r="P12" s="206">
        <f>SUM(P8:P11)</f>
        <v>59630.560000000012</v>
      </c>
      <c r="Q12" s="204" t="s">
        <v>177</v>
      </c>
      <c r="R12" s="204"/>
      <c r="S12" s="204"/>
      <c r="T12" s="204"/>
      <c r="U12" s="204"/>
      <c r="V12" s="204"/>
      <c r="W12" s="204"/>
      <c r="X12" s="204"/>
    </row>
    <row r="13" spans="1:35" ht="12" customHeight="1" thickBot="1" x14ac:dyDescent="0.3">
      <c r="B13" s="130"/>
      <c r="M13" s="207"/>
      <c r="N13" s="139"/>
      <c r="O13" s="139"/>
      <c r="P13" s="207"/>
      <c r="Q13" s="205"/>
      <c r="R13" s="205"/>
      <c r="S13" s="205"/>
      <c r="T13" s="205"/>
      <c r="U13" s="205"/>
      <c r="V13" s="205"/>
      <c r="W13" s="205"/>
      <c r="X13" s="205"/>
    </row>
    <row r="14" spans="1:35" ht="13.8" thickTop="1" x14ac:dyDescent="0.25"/>
    <row r="15" spans="1:35" x14ac:dyDescent="0.25">
      <c r="A15" t="s">
        <v>203</v>
      </c>
    </row>
    <row r="17" spans="8:21" x14ac:dyDescent="0.25">
      <c r="H17" s="126"/>
    </row>
    <row r="18" spans="8:21" x14ac:dyDescent="0.25">
      <c r="U18" s="92"/>
    </row>
    <row r="19" spans="8:21" x14ac:dyDescent="0.25">
      <c r="U19" s="92"/>
    </row>
    <row r="20" spans="8:21" x14ac:dyDescent="0.25">
      <c r="U20" s="92"/>
    </row>
    <row r="21" spans="8:21" x14ac:dyDescent="0.25">
      <c r="U21" s="92"/>
    </row>
    <row r="22" spans="8:21" x14ac:dyDescent="0.25">
      <c r="U22" s="92"/>
    </row>
    <row r="23" spans="8:21" x14ac:dyDescent="0.25">
      <c r="U23" s="92"/>
    </row>
  </sheetData>
  <mergeCells count="10">
    <mergeCell ref="Q5:X5"/>
    <mergeCell ref="B3:X3"/>
    <mergeCell ref="Q9:Q10"/>
    <mergeCell ref="Q12:X13"/>
    <mergeCell ref="P12:P13"/>
    <mergeCell ref="M12:M13"/>
    <mergeCell ref="C6:F6"/>
    <mergeCell ref="G6:J6"/>
    <mergeCell ref="K6:N6"/>
    <mergeCell ref="B12:D12"/>
  </mergeCells>
  <dataValidations count="2">
    <dataValidation type="list" allowBlank="1" showInputMessage="1" showErrorMessage="1" sqref="O8:O11" xr:uid="{7CCB2E9E-1AA2-4411-8DBC-8F834CFC0027}">
      <formula1>"1,2,3,4,5,6,7,8,9,10,11,12"</formula1>
    </dataValidation>
    <dataValidation type="list" allowBlank="1" showInputMessage="1" showErrorMessage="1" sqref="F8:F11 J8:J11 N8:N11" xr:uid="{21B312A0-F44B-471A-AB9E-FA5A6DD60170}">
      <formula1>"0,1,2,3,4,5,6,7,8,9,10,11,12"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0"/>
  <sheetViews>
    <sheetView workbookViewId="0">
      <selection activeCell="B3" sqref="B3"/>
    </sheetView>
  </sheetViews>
  <sheetFormatPr defaultColWidth="9.44140625" defaultRowHeight="14.4" x14ac:dyDescent="0.3"/>
  <cols>
    <col min="1" max="1" width="39.44140625" style="25" bestFit="1" customWidth="1"/>
    <col min="2" max="2" width="18.44140625" style="25" bestFit="1" customWidth="1"/>
    <col min="3" max="3" width="9.44140625" style="25"/>
    <col min="4" max="4" width="20.5546875" style="25" bestFit="1" customWidth="1"/>
    <col min="5" max="5" width="2" style="25" bestFit="1" customWidth="1"/>
    <col min="6" max="6" width="7.44140625" style="25" bestFit="1" customWidth="1"/>
    <col min="7" max="7" width="10.44140625" style="25" bestFit="1" customWidth="1"/>
    <col min="8" max="8" width="16.5546875" style="25" bestFit="1" customWidth="1"/>
    <col min="9" max="9" width="9.44140625" style="25"/>
    <col min="10" max="10" width="20.5546875" style="25" bestFit="1" customWidth="1"/>
    <col min="11" max="11" width="2" style="25" bestFit="1" customWidth="1"/>
    <col min="12" max="12" width="7.44140625" style="25" bestFit="1" customWidth="1"/>
    <col min="13" max="13" width="10.44140625" style="25" bestFit="1" customWidth="1"/>
    <col min="14" max="14" width="18.44140625" style="25" bestFit="1" customWidth="1"/>
    <col min="15" max="15" width="9.44140625" style="25"/>
    <col min="16" max="16" width="20.5546875" style="25" bestFit="1" customWidth="1"/>
    <col min="17" max="17" width="2" style="25" bestFit="1" customWidth="1"/>
    <col min="18" max="18" width="7.44140625" style="25" bestFit="1" customWidth="1"/>
    <col min="19" max="19" width="10.44140625" style="25" bestFit="1" customWidth="1"/>
    <col min="20" max="20" width="16.5546875" style="25" bestFit="1" customWidth="1"/>
    <col min="21" max="16384" width="9.44140625" style="25"/>
  </cols>
  <sheetData>
    <row r="1" spans="1:20" ht="15.6" x14ac:dyDescent="0.3">
      <c r="A1" s="53" t="s">
        <v>3</v>
      </c>
      <c r="B1" s="52"/>
      <c r="D1" s="214" t="s">
        <v>4</v>
      </c>
      <c r="E1" s="215"/>
      <c r="F1" s="215"/>
      <c r="G1" s="215"/>
      <c r="H1" s="216"/>
      <c r="J1" s="214" t="s">
        <v>4</v>
      </c>
      <c r="K1" s="215"/>
      <c r="L1" s="215"/>
      <c r="M1" s="215"/>
      <c r="N1" s="216"/>
      <c r="P1" s="214" t="s">
        <v>4</v>
      </c>
      <c r="Q1" s="215"/>
      <c r="R1" s="215"/>
      <c r="S1" s="215"/>
      <c r="T1" s="216"/>
    </row>
    <row r="2" spans="1:20" ht="15.6" x14ac:dyDescent="0.3">
      <c r="A2" s="50"/>
      <c r="B2" s="49" t="s">
        <v>5</v>
      </c>
      <c r="D2" s="217" t="s">
        <v>6</v>
      </c>
      <c r="E2" s="218"/>
      <c r="F2" s="218"/>
      <c r="G2" s="218"/>
      <c r="H2" s="219"/>
      <c r="J2" s="217" t="s">
        <v>7</v>
      </c>
      <c r="K2" s="218"/>
      <c r="L2" s="218"/>
      <c r="M2" s="218"/>
      <c r="N2" s="219"/>
      <c r="P2" s="217" t="s">
        <v>8</v>
      </c>
      <c r="Q2" s="218"/>
      <c r="R2" s="218"/>
      <c r="S2" s="218"/>
      <c r="T2" s="219"/>
    </row>
    <row r="3" spans="1:20" s="44" customFormat="1" ht="18" customHeight="1" x14ac:dyDescent="0.3">
      <c r="A3" s="46" t="s">
        <v>9</v>
      </c>
      <c r="B3" s="51">
        <f>'Contrato Doutorado (DL 57_2016)'!B5</f>
        <v>2294.9533000000001</v>
      </c>
      <c r="D3" s="50"/>
      <c r="E3" s="29"/>
      <c r="F3" s="29"/>
      <c r="G3" s="29"/>
      <c r="H3" s="49" t="s">
        <v>10</v>
      </c>
      <c r="J3" s="50"/>
      <c r="K3" s="29"/>
      <c r="L3" s="29"/>
      <c r="M3" s="29"/>
      <c r="N3" s="49" t="s">
        <v>10</v>
      </c>
      <c r="P3" s="50"/>
      <c r="Q3" s="29"/>
      <c r="R3" s="29"/>
      <c r="S3" s="29"/>
      <c r="T3" s="49" t="s">
        <v>10</v>
      </c>
    </row>
    <row r="4" spans="1:20" s="44" customFormat="1" ht="18" customHeight="1" x14ac:dyDescent="0.25">
      <c r="A4" s="46" t="s">
        <v>11</v>
      </c>
      <c r="B4" s="45">
        <f>4.52*22</f>
        <v>99.44</v>
      </c>
      <c r="D4" s="46" t="s">
        <v>12</v>
      </c>
      <c r="E4" s="34">
        <v>1</v>
      </c>
      <c r="F4" s="33"/>
      <c r="G4" s="32"/>
      <c r="H4" s="47">
        <f>B8</f>
        <v>3637.4930041666671</v>
      </c>
      <c r="J4" s="46" t="s">
        <v>12</v>
      </c>
      <c r="K4" s="34">
        <v>1</v>
      </c>
      <c r="L4" s="33"/>
      <c r="M4" s="32"/>
      <c r="N4" s="47">
        <f>B9</f>
        <v>4784.9696541666672</v>
      </c>
      <c r="P4" s="46" t="s">
        <v>12</v>
      </c>
      <c r="Q4" s="34">
        <v>1</v>
      </c>
      <c r="R4" s="33"/>
      <c r="S4" s="32"/>
      <c r="T4" s="47">
        <f>B10</f>
        <v>2490.016354166667</v>
      </c>
    </row>
    <row r="5" spans="1:20" s="44" customFormat="1" x14ac:dyDescent="0.25">
      <c r="A5" s="46" t="s">
        <v>13</v>
      </c>
      <c r="B5" s="45">
        <f>B3</f>
        <v>2294.9533000000001</v>
      </c>
      <c r="D5" s="46" t="s">
        <v>14</v>
      </c>
      <c r="E5" s="34">
        <v>2</v>
      </c>
      <c r="F5" s="33">
        <v>4.0000000000000001E-3</v>
      </c>
      <c r="G5" s="32"/>
      <c r="H5" s="45"/>
      <c r="J5" s="46" t="s">
        <v>14</v>
      </c>
      <c r="K5" s="34">
        <v>2</v>
      </c>
      <c r="L5" s="33">
        <v>4.0000000000000001E-3</v>
      </c>
      <c r="M5" s="32"/>
      <c r="N5" s="45"/>
      <c r="P5" s="46" t="s">
        <v>14</v>
      </c>
      <c r="Q5" s="34">
        <v>2</v>
      </c>
      <c r="R5" s="33">
        <v>4.0000000000000001E-3</v>
      </c>
      <c r="S5" s="32"/>
      <c r="T5" s="45"/>
    </row>
    <row r="6" spans="1:20" s="44" customFormat="1" x14ac:dyDescent="0.25">
      <c r="A6" s="46" t="s">
        <v>15</v>
      </c>
      <c r="B6" s="45">
        <f>B3/24</f>
        <v>95.623054166666677</v>
      </c>
      <c r="D6" s="46" t="s">
        <v>16</v>
      </c>
      <c r="E6" s="34">
        <v>3</v>
      </c>
      <c r="F6" s="33"/>
      <c r="G6" s="32" t="s">
        <v>17</v>
      </c>
      <c r="H6" s="45">
        <f>H4*F5</f>
        <v>14.549972016666668</v>
      </c>
      <c r="J6" s="46" t="s">
        <v>16</v>
      </c>
      <c r="K6" s="34">
        <v>3</v>
      </c>
      <c r="L6" s="33"/>
      <c r="M6" s="32" t="s">
        <v>17</v>
      </c>
      <c r="N6" s="45">
        <f>N4*L5</f>
        <v>19.139878616666667</v>
      </c>
      <c r="P6" s="46" t="s">
        <v>16</v>
      </c>
      <c r="Q6" s="34">
        <v>3</v>
      </c>
      <c r="R6" s="33"/>
      <c r="S6" s="32" t="s">
        <v>17</v>
      </c>
      <c r="T6" s="45">
        <f>T4*R5</f>
        <v>9.9600654166666676</v>
      </c>
    </row>
    <row r="7" spans="1:20" s="44" customFormat="1" x14ac:dyDescent="0.25">
      <c r="A7" s="46" t="s">
        <v>18</v>
      </c>
      <c r="B7" s="45">
        <f>B3/2</f>
        <v>1147.4766500000001</v>
      </c>
      <c r="D7" s="46" t="s">
        <v>19</v>
      </c>
      <c r="E7" s="34">
        <v>4</v>
      </c>
      <c r="F7" s="33">
        <v>0.05</v>
      </c>
      <c r="G7" s="32" t="s">
        <v>20</v>
      </c>
      <c r="H7" s="45">
        <f>H6*F7</f>
        <v>0.72749860083333351</v>
      </c>
      <c r="J7" s="46" t="s">
        <v>19</v>
      </c>
      <c r="K7" s="34">
        <v>4</v>
      </c>
      <c r="L7" s="33">
        <v>0.05</v>
      </c>
      <c r="M7" s="32" t="s">
        <v>20</v>
      </c>
      <c r="N7" s="45">
        <f>N6*L7</f>
        <v>0.95699393083333339</v>
      </c>
      <c r="P7" s="46" t="s">
        <v>19</v>
      </c>
      <c r="Q7" s="34">
        <v>4</v>
      </c>
      <c r="R7" s="33">
        <v>0.05</v>
      </c>
      <c r="S7" s="32" t="s">
        <v>20</v>
      </c>
      <c r="T7" s="45">
        <f>T6*R7</f>
        <v>0.4980032708333334</v>
      </c>
    </row>
    <row r="8" spans="1:20" s="44" customFormat="1" ht="18" customHeight="1" x14ac:dyDescent="0.25">
      <c r="A8" s="48" t="s">
        <v>21</v>
      </c>
      <c r="B8" s="47">
        <f>SUM(B3,B4,B6,B7)</f>
        <v>3637.4930041666671</v>
      </c>
      <c r="D8" s="46" t="s">
        <v>22</v>
      </c>
      <c r="E8" s="34">
        <v>5</v>
      </c>
      <c r="F8" s="33">
        <v>2.5000000000000001E-2</v>
      </c>
      <c r="G8" s="32" t="s">
        <v>23</v>
      </c>
      <c r="H8" s="45">
        <f>H6*F8</f>
        <v>0.36374930041666675</v>
      </c>
      <c r="J8" s="46" t="s">
        <v>22</v>
      </c>
      <c r="K8" s="34">
        <v>5</v>
      </c>
      <c r="L8" s="33">
        <v>2.5000000000000001E-2</v>
      </c>
      <c r="M8" s="32" t="s">
        <v>23</v>
      </c>
      <c r="N8" s="45">
        <f>N6*L8</f>
        <v>0.4784969654166667</v>
      </c>
      <c r="P8" s="46" t="s">
        <v>22</v>
      </c>
      <c r="Q8" s="34">
        <v>5</v>
      </c>
      <c r="R8" s="33">
        <v>2.5000000000000001E-2</v>
      </c>
      <c r="S8" s="32" t="s">
        <v>23</v>
      </c>
      <c r="T8" s="45">
        <f>T6*R8</f>
        <v>0.2490016354166667</v>
      </c>
    </row>
    <row r="9" spans="1:20" s="44" customFormat="1" ht="18" customHeight="1" x14ac:dyDescent="0.25">
      <c r="A9" s="48" t="s">
        <v>24</v>
      </c>
      <c r="B9" s="47">
        <f>SUM(B3:B6)</f>
        <v>4784.9696541666672</v>
      </c>
      <c r="D9" s="46" t="s">
        <v>25</v>
      </c>
      <c r="E9" s="34">
        <v>6</v>
      </c>
      <c r="F9" s="33">
        <v>1.5E-3</v>
      </c>
      <c r="G9" s="32" t="s">
        <v>26</v>
      </c>
      <c r="H9" s="45">
        <f>H4*F9</f>
        <v>5.4562395062500011</v>
      </c>
      <c r="J9" s="46" t="s">
        <v>25</v>
      </c>
      <c r="K9" s="34">
        <v>6</v>
      </c>
      <c r="L9" s="33">
        <v>1.5E-3</v>
      </c>
      <c r="M9" s="32" t="s">
        <v>26</v>
      </c>
      <c r="N9" s="45">
        <f>N4*L9</f>
        <v>7.1774544812500007</v>
      </c>
      <c r="P9" s="46" t="s">
        <v>25</v>
      </c>
      <c r="Q9" s="34">
        <v>6</v>
      </c>
      <c r="R9" s="33">
        <v>1.5E-3</v>
      </c>
      <c r="S9" s="32" t="s">
        <v>26</v>
      </c>
      <c r="T9" s="45">
        <f>T4*R9</f>
        <v>3.7350245312500006</v>
      </c>
    </row>
    <row r="10" spans="1:20" s="30" customFormat="1" ht="18" x14ac:dyDescent="0.2">
      <c r="A10" s="42" t="s">
        <v>27</v>
      </c>
      <c r="B10" s="43">
        <f>B3+B4+B6</f>
        <v>2490.016354166667</v>
      </c>
      <c r="D10" s="42" t="s">
        <v>28</v>
      </c>
      <c r="E10" s="41">
        <v>7</v>
      </c>
      <c r="F10" s="40"/>
      <c r="G10" s="39" t="s">
        <v>29</v>
      </c>
      <c r="H10" s="38">
        <f>SUM(H6:H9)</f>
        <v>21.097459424166669</v>
      </c>
      <c r="J10" s="42" t="s">
        <v>28</v>
      </c>
      <c r="K10" s="41">
        <v>7</v>
      </c>
      <c r="L10" s="40"/>
      <c r="M10" s="39" t="s">
        <v>29</v>
      </c>
      <c r="N10" s="38">
        <f>SUM(N6:N9)</f>
        <v>27.752823994166668</v>
      </c>
      <c r="P10" s="42" t="s">
        <v>30</v>
      </c>
      <c r="Q10" s="41">
        <v>7</v>
      </c>
      <c r="R10" s="40"/>
      <c r="S10" s="39" t="s">
        <v>29</v>
      </c>
      <c r="T10" s="38">
        <f>SUM(T6:T9)*11</f>
        <v>158.86304339583336</v>
      </c>
    </row>
    <row r="11" spans="1:20" s="30" customFormat="1" ht="18" x14ac:dyDescent="0.2">
      <c r="J11" s="37"/>
      <c r="K11" s="36"/>
      <c r="P11" s="35"/>
      <c r="Q11" s="34"/>
      <c r="R11" s="33"/>
      <c r="S11" s="32"/>
      <c r="T11" s="31"/>
    </row>
    <row r="12" spans="1:20" x14ac:dyDescent="0.3">
      <c r="A12" s="30"/>
      <c r="B12" s="30"/>
      <c r="J12" s="29"/>
      <c r="K12" s="29"/>
      <c r="P12" s="213"/>
      <c r="Q12" s="213"/>
      <c r="R12" s="213"/>
      <c r="S12" s="213"/>
      <c r="T12" s="213"/>
    </row>
    <row r="13" spans="1:20" x14ac:dyDescent="0.3">
      <c r="T13" s="26"/>
    </row>
    <row r="14" spans="1:20" ht="21" x14ac:dyDescent="0.3">
      <c r="A14" s="28" t="s">
        <v>31</v>
      </c>
      <c r="B14" s="27">
        <f>T10+N10+H10</f>
        <v>207.71332681416669</v>
      </c>
    </row>
    <row r="16" spans="1:20" x14ac:dyDescent="0.3">
      <c r="B16" s="26"/>
    </row>
    <row r="20" spans="1:1" x14ac:dyDescent="0.3">
      <c r="A20" s="24" t="s">
        <v>32</v>
      </c>
    </row>
  </sheetData>
  <mergeCells count="7">
    <mergeCell ref="P12:T12"/>
    <mergeCell ref="D1:H1"/>
    <mergeCell ref="J1:N1"/>
    <mergeCell ref="P1:T1"/>
    <mergeCell ref="D2:H2"/>
    <mergeCell ref="J2:N2"/>
    <mergeCell ref="P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54"/>
  <sheetViews>
    <sheetView workbookViewId="0">
      <selection activeCell="G2" sqref="G2"/>
    </sheetView>
  </sheetViews>
  <sheetFormatPr defaultColWidth="8.5546875" defaultRowHeight="13.2" x14ac:dyDescent="0.25"/>
  <cols>
    <col min="1" max="1" width="51.44140625" bestFit="1" customWidth="1"/>
    <col min="2" max="2" width="16.44140625" customWidth="1"/>
    <col min="4" max="4" width="8.5546875" customWidth="1"/>
    <col min="5" max="6" width="9.5546875" customWidth="1"/>
    <col min="11" max="11" width="21.44140625" customWidth="1"/>
  </cols>
  <sheetData>
    <row r="2" spans="1:11" ht="21" x14ac:dyDescent="0.25">
      <c r="A2" s="15" t="s">
        <v>42</v>
      </c>
      <c r="B2" s="15"/>
      <c r="G2" s="138">
        <v>0.03</v>
      </c>
      <c r="I2" s="138"/>
    </row>
    <row r="3" spans="1:11" ht="28.8" x14ac:dyDescent="0.25">
      <c r="A3" s="16" t="s">
        <v>43</v>
      </c>
      <c r="B3" s="221" t="s">
        <v>153</v>
      </c>
      <c r="C3" s="221"/>
      <c r="D3" s="79" t="s">
        <v>201</v>
      </c>
      <c r="E3" s="79" t="s">
        <v>202</v>
      </c>
      <c r="F3" s="79" t="s">
        <v>212</v>
      </c>
      <c r="G3" s="119" t="s">
        <v>2</v>
      </c>
      <c r="H3" s="78" t="s">
        <v>154</v>
      </c>
    </row>
    <row r="4" spans="1:11" ht="14.4" x14ac:dyDescent="0.3">
      <c r="A4" s="17" t="s">
        <v>52</v>
      </c>
      <c r="B4" s="80">
        <v>1</v>
      </c>
      <c r="C4" s="6">
        <v>2128.34</v>
      </c>
      <c r="D4" s="6">
        <f>C4+(C4*0.003)</f>
        <v>2134.7250200000003</v>
      </c>
      <c r="E4" s="6">
        <f>2228.11</f>
        <v>2228.11</v>
      </c>
      <c r="F4" s="6">
        <f>E4*$G$2+(E4)</f>
        <v>2294.9533000000001</v>
      </c>
      <c r="G4" s="120">
        <f>+F4</f>
        <v>2294.9533000000001</v>
      </c>
      <c r="H4">
        <v>33</v>
      </c>
      <c r="J4" s="220" t="s">
        <v>44</v>
      </c>
      <c r="K4" s="220"/>
    </row>
    <row r="5" spans="1:11" ht="14.4" x14ac:dyDescent="0.3">
      <c r="A5" s="17" t="s">
        <v>53</v>
      </c>
      <c r="B5" s="80">
        <v>1</v>
      </c>
      <c r="C5" s="6">
        <v>2179.83</v>
      </c>
      <c r="D5" s="6">
        <f t="shared" ref="D5:D53" si="0">C5+(C5*0.003)</f>
        <v>2186.36949</v>
      </c>
      <c r="E5" s="6">
        <f>2280.73+$I$2</f>
        <v>2280.73</v>
      </c>
      <c r="F5" s="6">
        <f t="shared" ref="F5:F53" si="1">E5*$G$2+(E5)</f>
        <v>2349.1518999999998</v>
      </c>
      <c r="G5" s="120">
        <f t="shared" ref="G5:G53" si="2">+F5</f>
        <v>2349.1518999999998</v>
      </c>
      <c r="H5">
        <v>34</v>
      </c>
      <c r="J5" s="18" t="s">
        <v>45</v>
      </c>
      <c r="K5" t="s">
        <v>183</v>
      </c>
    </row>
    <row r="6" spans="1:11" ht="14.4" x14ac:dyDescent="0.3">
      <c r="A6" s="17" t="s">
        <v>54</v>
      </c>
      <c r="B6" s="80">
        <v>1</v>
      </c>
      <c r="C6" s="6">
        <v>2231.3200000000002</v>
      </c>
      <c r="D6" s="6">
        <f t="shared" si="0"/>
        <v>2238.0139600000002</v>
      </c>
      <c r="E6" s="6">
        <f>2333.37+3%</f>
        <v>2333.4</v>
      </c>
      <c r="F6" s="6">
        <f t="shared" si="1"/>
        <v>2403.402</v>
      </c>
      <c r="G6" s="120">
        <f t="shared" si="2"/>
        <v>2403.402</v>
      </c>
      <c r="H6">
        <v>35</v>
      </c>
      <c r="J6" s="18" t="s">
        <v>46</v>
      </c>
      <c r="K6" t="s">
        <v>47</v>
      </c>
    </row>
    <row r="7" spans="1:11" ht="14.4" x14ac:dyDescent="0.3">
      <c r="A7" s="17" t="s">
        <v>55</v>
      </c>
      <c r="B7" s="80">
        <v>1</v>
      </c>
      <c r="C7" s="6">
        <v>2282.81</v>
      </c>
      <c r="D7" s="6">
        <f t="shared" si="0"/>
        <v>2289.65843</v>
      </c>
      <c r="E7" s="6">
        <f>2385.99+I2</f>
        <v>2385.9899999999998</v>
      </c>
      <c r="F7" s="6">
        <f t="shared" si="1"/>
        <v>2457.5696999999996</v>
      </c>
      <c r="G7" s="120">
        <f t="shared" si="2"/>
        <v>2457.5696999999996</v>
      </c>
      <c r="H7">
        <v>36</v>
      </c>
      <c r="J7" s="18" t="s">
        <v>48</v>
      </c>
      <c r="K7" t="s">
        <v>49</v>
      </c>
    </row>
    <row r="8" spans="1:11" ht="14.4" x14ac:dyDescent="0.3">
      <c r="A8" s="17" t="s">
        <v>56</v>
      </c>
      <c r="B8" s="80" t="s">
        <v>155</v>
      </c>
      <c r="C8" s="6">
        <v>2334.3000000000002</v>
      </c>
      <c r="D8" s="6">
        <f t="shared" si="0"/>
        <v>2341.3029000000001</v>
      </c>
      <c r="E8" s="6">
        <f>2438.65+I2</f>
        <v>2438.65</v>
      </c>
      <c r="F8" s="6">
        <f t="shared" si="1"/>
        <v>2511.8095000000003</v>
      </c>
      <c r="G8" s="120">
        <f t="shared" si="2"/>
        <v>2511.8095000000003</v>
      </c>
      <c r="H8">
        <v>37</v>
      </c>
      <c r="J8" s="18" t="s">
        <v>50</v>
      </c>
      <c r="K8" t="s">
        <v>51</v>
      </c>
    </row>
    <row r="9" spans="1:11" ht="13.8" x14ac:dyDescent="0.25">
      <c r="A9" s="17" t="s">
        <v>57</v>
      </c>
      <c r="B9" s="80" t="s">
        <v>155</v>
      </c>
      <c r="C9" s="6">
        <v>2385.8000000000002</v>
      </c>
      <c r="D9" s="6">
        <f t="shared" si="0"/>
        <v>2392.9574000000002</v>
      </c>
      <c r="E9" s="6">
        <f>2491.27+I2</f>
        <v>2491.27</v>
      </c>
      <c r="F9" s="6">
        <f t="shared" si="1"/>
        <v>2566.0081</v>
      </c>
      <c r="G9" s="120">
        <f t="shared" si="2"/>
        <v>2566.0081</v>
      </c>
      <c r="H9">
        <v>38</v>
      </c>
    </row>
    <row r="10" spans="1:11" ht="13.8" x14ac:dyDescent="0.25">
      <c r="A10" s="17" t="s">
        <v>58</v>
      </c>
      <c r="B10" s="80" t="s">
        <v>155</v>
      </c>
      <c r="C10" s="6">
        <v>2437.29</v>
      </c>
      <c r="D10" s="6">
        <f t="shared" si="0"/>
        <v>2444.60187</v>
      </c>
      <c r="E10" s="6">
        <f>2543.91+I2</f>
        <v>2543.91</v>
      </c>
      <c r="F10" s="6">
        <f t="shared" si="1"/>
        <v>2620.2273</v>
      </c>
      <c r="G10" s="120">
        <f t="shared" si="2"/>
        <v>2620.2273</v>
      </c>
      <c r="H10">
        <v>39</v>
      </c>
    </row>
    <row r="11" spans="1:11" ht="13.8" x14ac:dyDescent="0.25">
      <c r="A11" s="17" t="s">
        <v>59</v>
      </c>
      <c r="B11" s="80" t="s">
        <v>155</v>
      </c>
      <c r="C11" s="6">
        <v>2488.7800000000002</v>
      </c>
      <c r="D11" s="6">
        <f t="shared" si="0"/>
        <v>2496.2463400000001</v>
      </c>
      <c r="E11" s="6">
        <f>2596.53+I2</f>
        <v>2596.5300000000002</v>
      </c>
      <c r="F11" s="6">
        <f t="shared" si="1"/>
        <v>2674.4259000000002</v>
      </c>
      <c r="G11" s="120">
        <f t="shared" si="2"/>
        <v>2674.4259000000002</v>
      </c>
      <c r="H11">
        <v>40</v>
      </c>
    </row>
    <row r="12" spans="1:11" ht="13.8" x14ac:dyDescent="0.25">
      <c r="A12" s="17" t="s">
        <v>60</v>
      </c>
      <c r="B12" s="80" t="s">
        <v>155</v>
      </c>
      <c r="C12" s="6">
        <v>2540.27</v>
      </c>
      <c r="D12" s="6">
        <f t="shared" si="0"/>
        <v>2547.8908099999999</v>
      </c>
      <c r="E12" s="6">
        <f>2649.17+I2</f>
        <v>2649.17</v>
      </c>
      <c r="F12" s="6">
        <f t="shared" si="1"/>
        <v>2728.6451000000002</v>
      </c>
      <c r="G12" s="120">
        <f t="shared" si="2"/>
        <v>2728.6451000000002</v>
      </c>
      <c r="H12">
        <v>41</v>
      </c>
    </row>
    <row r="13" spans="1:11" ht="13.8" x14ac:dyDescent="0.25">
      <c r="A13" s="17" t="s">
        <v>61</v>
      </c>
      <c r="B13" s="80" t="s">
        <v>155</v>
      </c>
      <c r="C13" s="6">
        <v>2591.7600000000002</v>
      </c>
      <c r="D13" s="6">
        <f t="shared" si="0"/>
        <v>2599.5352800000001</v>
      </c>
      <c r="E13" s="6">
        <f>2702.15+I2</f>
        <v>2702.15</v>
      </c>
      <c r="F13" s="6">
        <f t="shared" si="1"/>
        <v>2783.2145</v>
      </c>
      <c r="G13" s="120">
        <f t="shared" si="2"/>
        <v>2783.2145</v>
      </c>
      <c r="H13">
        <v>42</v>
      </c>
    </row>
    <row r="14" spans="1:11" ht="13.8" x14ac:dyDescent="0.25">
      <c r="A14" s="17" t="s">
        <v>62</v>
      </c>
      <c r="B14" s="80" t="s">
        <v>155</v>
      </c>
      <c r="C14" s="6">
        <v>2643.26</v>
      </c>
      <c r="D14" s="6">
        <f t="shared" si="0"/>
        <v>2651.1897800000002</v>
      </c>
      <c r="E14" s="6">
        <f>2755.84+I2</f>
        <v>2755.84</v>
      </c>
      <c r="F14" s="6">
        <f t="shared" si="1"/>
        <v>2838.5152000000003</v>
      </c>
      <c r="G14" s="120">
        <f t="shared" si="2"/>
        <v>2838.5152000000003</v>
      </c>
      <c r="H14">
        <v>43</v>
      </c>
    </row>
    <row r="15" spans="1:11" ht="13.8" x14ac:dyDescent="0.25">
      <c r="A15" s="17" t="s">
        <v>63</v>
      </c>
      <c r="B15" s="80" t="s">
        <v>155</v>
      </c>
      <c r="C15" s="6">
        <v>2694.75</v>
      </c>
      <c r="D15" s="6">
        <f t="shared" si="0"/>
        <v>2702.8342499999999</v>
      </c>
      <c r="E15" s="6">
        <f>2809.52+I2</f>
        <v>2809.52</v>
      </c>
      <c r="F15" s="6">
        <f t="shared" si="1"/>
        <v>2893.8056000000001</v>
      </c>
      <c r="G15" s="120">
        <f t="shared" si="2"/>
        <v>2893.8056000000001</v>
      </c>
      <c r="H15">
        <v>44</v>
      </c>
    </row>
    <row r="16" spans="1:11" ht="13.8" x14ac:dyDescent="0.25">
      <c r="A16" s="17" t="s">
        <v>64</v>
      </c>
      <c r="B16" s="80" t="s">
        <v>155</v>
      </c>
      <c r="C16" s="6">
        <v>2746.24</v>
      </c>
      <c r="D16" s="6">
        <f t="shared" si="0"/>
        <v>2754.4787199999996</v>
      </c>
      <c r="E16" s="6">
        <f>2863.21+I2</f>
        <v>2863.21</v>
      </c>
      <c r="F16" s="6">
        <f t="shared" si="1"/>
        <v>2949.1062999999999</v>
      </c>
      <c r="G16" s="120">
        <f t="shared" si="2"/>
        <v>2949.1062999999999</v>
      </c>
      <c r="H16">
        <v>45</v>
      </c>
    </row>
    <row r="17" spans="1:8" ht="13.8" x14ac:dyDescent="0.25">
      <c r="A17" s="17" t="s">
        <v>65</v>
      </c>
      <c r="B17" s="80" t="s">
        <v>155</v>
      </c>
      <c r="C17" s="6">
        <v>2797.73</v>
      </c>
      <c r="D17" s="6">
        <f t="shared" si="0"/>
        <v>2806.1231899999998</v>
      </c>
      <c r="E17" s="6">
        <f>2916.89+I2</f>
        <v>2916.89</v>
      </c>
      <c r="F17" s="6">
        <f t="shared" si="1"/>
        <v>3004.3966999999998</v>
      </c>
      <c r="G17" s="120">
        <f t="shared" si="2"/>
        <v>3004.3966999999998</v>
      </c>
      <c r="H17">
        <v>46</v>
      </c>
    </row>
    <row r="18" spans="1:8" ht="13.8" x14ac:dyDescent="0.25">
      <c r="A18" s="17" t="s">
        <v>66</v>
      </c>
      <c r="B18" s="80" t="s">
        <v>155</v>
      </c>
      <c r="C18" s="6">
        <v>2849.22</v>
      </c>
      <c r="D18" s="6">
        <f t="shared" si="0"/>
        <v>2857.76766</v>
      </c>
      <c r="E18" s="6">
        <f>2970.57+I2</f>
        <v>2970.57</v>
      </c>
      <c r="F18" s="6">
        <f t="shared" si="1"/>
        <v>3059.6871000000001</v>
      </c>
      <c r="G18" s="120">
        <f t="shared" si="2"/>
        <v>3059.6871000000001</v>
      </c>
      <c r="H18">
        <v>47</v>
      </c>
    </row>
    <row r="19" spans="1:8" ht="13.8" x14ac:dyDescent="0.25">
      <c r="A19" s="17" t="s">
        <v>67</v>
      </c>
      <c r="B19" s="80" t="s">
        <v>155</v>
      </c>
      <c r="C19" s="6">
        <v>2900.72</v>
      </c>
      <c r="D19" s="6">
        <f t="shared" si="0"/>
        <v>2909.4221599999996</v>
      </c>
      <c r="E19" s="6">
        <f>3024.25+I2</f>
        <v>3024.25</v>
      </c>
      <c r="F19" s="6">
        <f t="shared" si="1"/>
        <v>3114.9775</v>
      </c>
      <c r="G19" s="120">
        <f t="shared" si="2"/>
        <v>3114.9775</v>
      </c>
      <c r="H19">
        <v>48</v>
      </c>
    </row>
    <row r="20" spans="1:8" ht="13.8" x14ac:dyDescent="0.25">
      <c r="A20" s="17" t="s">
        <v>68</v>
      </c>
      <c r="B20" s="80" t="s">
        <v>155</v>
      </c>
      <c r="C20" s="6">
        <v>2952.21</v>
      </c>
      <c r="D20" s="6">
        <f t="shared" si="0"/>
        <v>2961.0666300000003</v>
      </c>
      <c r="E20" s="6">
        <f>3077.94+I2</f>
        <v>3077.94</v>
      </c>
      <c r="F20" s="6">
        <f t="shared" si="1"/>
        <v>3170.2782000000002</v>
      </c>
      <c r="G20" s="120">
        <f t="shared" si="2"/>
        <v>3170.2782000000002</v>
      </c>
      <c r="H20">
        <v>49</v>
      </c>
    </row>
    <row r="21" spans="1:8" ht="13.8" x14ac:dyDescent="0.25">
      <c r="A21" s="17" t="s">
        <v>69</v>
      </c>
      <c r="B21" s="80" t="s">
        <v>155</v>
      </c>
      <c r="C21" s="6">
        <v>3003.7</v>
      </c>
      <c r="D21" s="6">
        <f t="shared" si="0"/>
        <v>3012.7111</v>
      </c>
      <c r="E21" s="6">
        <f>3131.63+I2</f>
        <v>3131.63</v>
      </c>
      <c r="F21" s="6">
        <f t="shared" si="1"/>
        <v>3225.5789</v>
      </c>
      <c r="G21" s="120">
        <f t="shared" si="2"/>
        <v>3225.5789</v>
      </c>
      <c r="H21">
        <v>50</v>
      </c>
    </row>
    <row r="22" spans="1:8" ht="13.8" x14ac:dyDescent="0.25">
      <c r="A22" s="17" t="s">
        <v>70</v>
      </c>
      <c r="B22" s="80" t="s">
        <v>155</v>
      </c>
      <c r="C22" s="6">
        <v>3055.19</v>
      </c>
      <c r="D22" s="6">
        <f t="shared" si="0"/>
        <v>3064.3555700000002</v>
      </c>
      <c r="E22" s="6">
        <f>3185.32+I2</f>
        <v>3185.32</v>
      </c>
      <c r="F22" s="6">
        <f t="shared" si="1"/>
        <v>3280.8796000000002</v>
      </c>
      <c r="G22" s="120">
        <f t="shared" si="2"/>
        <v>3280.8796000000002</v>
      </c>
      <c r="H22">
        <v>51</v>
      </c>
    </row>
    <row r="23" spans="1:8" ht="13.8" x14ac:dyDescent="0.25">
      <c r="A23" s="17" t="s">
        <v>71</v>
      </c>
      <c r="B23" s="80" t="s">
        <v>155</v>
      </c>
      <c r="C23" s="6">
        <v>3106.68</v>
      </c>
      <c r="D23" s="6">
        <f t="shared" si="0"/>
        <v>3116.0000399999999</v>
      </c>
      <c r="E23" s="6">
        <f>3238.99+I2</f>
        <v>3238.99</v>
      </c>
      <c r="F23" s="6">
        <f t="shared" si="1"/>
        <v>3336.1596999999997</v>
      </c>
      <c r="G23" s="120">
        <f t="shared" si="2"/>
        <v>3336.1596999999997</v>
      </c>
      <c r="H23">
        <v>52</v>
      </c>
    </row>
    <row r="24" spans="1:8" ht="13.8" x14ac:dyDescent="0.25">
      <c r="A24" s="17" t="s">
        <v>72</v>
      </c>
      <c r="B24" s="80" t="s">
        <v>155</v>
      </c>
      <c r="C24" s="6">
        <v>3158.18</v>
      </c>
      <c r="D24" s="6">
        <f t="shared" si="0"/>
        <v>3167.65454</v>
      </c>
      <c r="E24" s="6">
        <f>3292.68+I2</f>
        <v>3292.68</v>
      </c>
      <c r="F24" s="6">
        <f t="shared" si="1"/>
        <v>3391.4603999999999</v>
      </c>
      <c r="G24" s="120">
        <f t="shared" si="2"/>
        <v>3391.4603999999999</v>
      </c>
      <c r="H24">
        <v>53</v>
      </c>
    </row>
    <row r="25" spans="1:8" ht="13.8" x14ac:dyDescent="0.25">
      <c r="A25" s="17" t="s">
        <v>73</v>
      </c>
      <c r="B25" s="80">
        <v>3</v>
      </c>
      <c r="C25" s="6">
        <v>3209.67</v>
      </c>
      <c r="D25" s="6">
        <f t="shared" si="0"/>
        <v>3219.2990100000002</v>
      </c>
      <c r="E25" s="6">
        <f>3346.37+I2</f>
        <v>3346.37</v>
      </c>
      <c r="F25" s="6">
        <f t="shared" si="1"/>
        <v>3446.7610999999997</v>
      </c>
      <c r="G25" s="120">
        <f t="shared" si="2"/>
        <v>3446.7610999999997</v>
      </c>
      <c r="H25">
        <v>54</v>
      </c>
    </row>
    <row r="26" spans="1:8" ht="13.8" x14ac:dyDescent="0.25">
      <c r="A26" s="17" t="s">
        <v>74</v>
      </c>
      <c r="B26" s="80">
        <v>3</v>
      </c>
      <c r="C26" s="6">
        <v>3261.16</v>
      </c>
      <c r="D26" s="6">
        <f t="shared" si="0"/>
        <v>3270.9434799999999</v>
      </c>
      <c r="E26" s="6">
        <f>3400.05+I2</f>
        <v>3400.05</v>
      </c>
      <c r="F26" s="6">
        <f t="shared" si="1"/>
        <v>3502.0515</v>
      </c>
      <c r="G26" s="120">
        <f t="shared" si="2"/>
        <v>3502.0515</v>
      </c>
      <c r="H26">
        <v>55</v>
      </c>
    </row>
    <row r="27" spans="1:8" ht="13.8" x14ac:dyDescent="0.25">
      <c r="A27" s="17" t="s">
        <v>75</v>
      </c>
      <c r="B27" s="80">
        <v>3</v>
      </c>
      <c r="C27" s="6">
        <v>3312.65</v>
      </c>
      <c r="D27" s="6">
        <f t="shared" si="0"/>
        <v>3322.5879500000001</v>
      </c>
      <c r="E27" s="6">
        <f>3453.74+I2</f>
        <v>3453.74</v>
      </c>
      <c r="F27" s="6">
        <f t="shared" si="1"/>
        <v>3557.3521999999998</v>
      </c>
      <c r="G27" s="120">
        <f t="shared" si="2"/>
        <v>3557.3521999999998</v>
      </c>
      <c r="H27">
        <v>56</v>
      </c>
    </row>
    <row r="28" spans="1:8" ht="13.8" x14ac:dyDescent="0.25">
      <c r="A28" s="17" t="s">
        <v>76</v>
      </c>
      <c r="B28" s="80">
        <v>3</v>
      </c>
      <c r="C28" s="6">
        <v>3364.14</v>
      </c>
      <c r="D28" s="6">
        <f t="shared" si="0"/>
        <v>3374.2324199999998</v>
      </c>
      <c r="E28" s="6">
        <f>3507.42+I2</f>
        <v>3507.42</v>
      </c>
      <c r="F28" s="6">
        <f t="shared" si="1"/>
        <v>3612.6426000000001</v>
      </c>
      <c r="G28" s="120">
        <f t="shared" si="2"/>
        <v>3612.6426000000001</v>
      </c>
      <c r="H28">
        <v>57</v>
      </c>
    </row>
    <row r="29" spans="1:8" ht="13.8" x14ac:dyDescent="0.25">
      <c r="A29" s="17" t="s">
        <v>77</v>
      </c>
      <c r="B29" s="80">
        <v>3</v>
      </c>
      <c r="C29" s="6">
        <v>3415.64</v>
      </c>
      <c r="D29" s="6">
        <f t="shared" si="0"/>
        <v>3425.8869199999999</v>
      </c>
      <c r="E29" s="6">
        <f>3561.11+I2</f>
        <v>3561.11</v>
      </c>
      <c r="F29" s="6">
        <f t="shared" si="1"/>
        <v>3667.9432999999999</v>
      </c>
      <c r="G29" s="120">
        <f t="shared" si="2"/>
        <v>3667.9432999999999</v>
      </c>
      <c r="H29">
        <v>58</v>
      </c>
    </row>
    <row r="30" spans="1:8" ht="13.8" x14ac:dyDescent="0.25">
      <c r="A30" s="17" t="s">
        <v>78</v>
      </c>
      <c r="B30" s="80">
        <v>3</v>
      </c>
      <c r="C30" s="6">
        <v>3467.13</v>
      </c>
      <c r="D30" s="6">
        <f t="shared" si="0"/>
        <v>3477.5313900000001</v>
      </c>
      <c r="E30" s="6">
        <f>3614.8+I2</f>
        <v>3614.8</v>
      </c>
      <c r="F30" s="6">
        <f t="shared" si="1"/>
        <v>3723.2440000000001</v>
      </c>
      <c r="G30" s="120">
        <f t="shared" si="2"/>
        <v>3723.2440000000001</v>
      </c>
      <c r="H30">
        <v>59</v>
      </c>
    </row>
    <row r="31" spans="1:8" ht="13.8" x14ac:dyDescent="0.25">
      <c r="A31" s="17" t="s">
        <v>79</v>
      </c>
      <c r="B31" s="80">
        <v>3</v>
      </c>
      <c r="C31" s="6">
        <v>3518.62</v>
      </c>
      <c r="D31" s="6">
        <f t="shared" si="0"/>
        <v>3529.1758599999998</v>
      </c>
      <c r="E31" s="6">
        <f>3668.48+I2</f>
        <v>3668.48</v>
      </c>
      <c r="F31" s="6">
        <f t="shared" si="1"/>
        <v>3778.5344</v>
      </c>
      <c r="G31" s="120">
        <f t="shared" si="2"/>
        <v>3778.5344</v>
      </c>
      <c r="H31">
        <v>60</v>
      </c>
    </row>
    <row r="32" spans="1:8" ht="13.8" x14ac:dyDescent="0.25">
      <c r="A32" s="17" t="s">
        <v>80</v>
      </c>
      <c r="B32" s="80">
        <v>3</v>
      </c>
      <c r="C32" s="6">
        <v>3570.11</v>
      </c>
      <c r="D32" s="6">
        <f t="shared" si="0"/>
        <v>3580.82033</v>
      </c>
      <c r="E32" s="6">
        <f>3722.16+I2</f>
        <v>3722.16</v>
      </c>
      <c r="F32" s="6">
        <f t="shared" si="1"/>
        <v>3833.8247999999999</v>
      </c>
      <c r="G32" s="120">
        <f t="shared" si="2"/>
        <v>3833.8247999999999</v>
      </c>
      <c r="H32">
        <v>61</v>
      </c>
    </row>
    <row r="33" spans="1:8" ht="13.8" x14ac:dyDescent="0.25">
      <c r="A33" s="17" t="s">
        <v>81</v>
      </c>
      <c r="B33" s="80">
        <v>4</v>
      </c>
      <c r="C33" s="6">
        <v>3621.6</v>
      </c>
      <c r="D33" s="6">
        <f t="shared" si="0"/>
        <v>3632.4647999999997</v>
      </c>
      <c r="E33" s="6">
        <f>3775.83+I2</f>
        <v>3775.83</v>
      </c>
      <c r="F33" s="6">
        <f t="shared" si="1"/>
        <v>3889.1048999999998</v>
      </c>
      <c r="G33" s="120">
        <f t="shared" si="2"/>
        <v>3889.1048999999998</v>
      </c>
      <c r="H33">
        <v>62</v>
      </c>
    </row>
    <row r="34" spans="1:8" ht="13.8" x14ac:dyDescent="0.25">
      <c r="A34" s="17" t="s">
        <v>82</v>
      </c>
      <c r="B34" s="80">
        <v>4</v>
      </c>
      <c r="C34" s="6">
        <v>3673.1</v>
      </c>
      <c r="D34" s="6">
        <f t="shared" si="0"/>
        <v>3684.1192999999998</v>
      </c>
      <c r="E34" s="6">
        <f>3829.55+I2</f>
        <v>3829.55</v>
      </c>
      <c r="F34" s="6">
        <f t="shared" si="1"/>
        <v>3944.4365000000003</v>
      </c>
      <c r="G34" s="120">
        <f t="shared" si="2"/>
        <v>3944.4365000000003</v>
      </c>
      <c r="H34">
        <v>63</v>
      </c>
    </row>
    <row r="35" spans="1:8" ht="13.8" x14ac:dyDescent="0.25">
      <c r="A35" s="17" t="s">
        <v>83</v>
      </c>
      <c r="B35" s="80">
        <v>4</v>
      </c>
      <c r="C35" s="6">
        <v>3724.59</v>
      </c>
      <c r="D35" s="6">
        <f t="shared" si="0"/>
        <v>3735.76377</v>
      </c>
      <c r="E35" s="6">
        <f>3883.22+I2</f>
        <v>3883.22</v>
      </c>
      <c r="F35" s="6">
        <f t="shared" si="1"/>
        <v>3999.7165999999997</v>
      </c>
      <c r="G35" s="120">
        <f t="shared" si="2"/>
        <v>3999.7165999999997</v>
      </c>
      <c r="H35">
        <v>64</v>
      </c>
    </row>
    <row r="36" spans="1:8" ht="13.8" x14ac:dyDescent="0.25">
      <c r="A36" s="17" t="s">
        <v>84</v>
      </c>
      <c r="B36" s="80">
        <v>4</v>
      </c>
      <c r="C36" s="6">
        <v>3776.08</v>
      </c>
      <c r="D36" s="6">
        <f t="shared" si="0"/>
        <v>3787.4082399999998</v>
      </c>
      <c r="E36" s="6">
        <f>3936.91+I2</f>
        <v>3936.91</v>
      </c>
      <c r="F36" s="6">
        <f t="shared" si="1"/>
        <v>4055.0173</v>
      </c>
      <c r="G36" s="120">
        <f t="shared" si="2"/>
        <v>4055.0173</v>
      </c>
      <c r="H36">
        <v>65</v>
      </c>
    </row>
    <row r="37" spans="1:8" ht="13.8" x14ac:dyDescent="0.25">
      <c r="A37" s="17" t="s">
        <v>85</v>
      </c>
      <c r="B37" s="80">
        <v>4</v>
      </c>
      <c r="C37" s="6">
        <v>3827.57</v>
      </c>
      <c r="D37" s="6">
        <f t="shared" si="0"/>
        <v>3839.0527100000004</v>
      </c>
      <c r="E37" s="6">
        <f>3990.58+I2</f>
        <v>3990.58</v>
      </c>
      <c r="F37" s="6">
        <f t="shared" si="1"/>
        <v>4110.2973999999995</v>
      </c>
      <c r="G37" s="120">
        <f t="shared" si="2"/>
        <v>4110.2973999999995</v>
      </c>
      <c r="H37">
        <v>66</v>
      </c>
    </row>
    <row r="38" spans="1:8" ht="13.8" x14ac:dyDescent="0.25">
      <c r="A38" s="17" t="s">
        <v>86</v>
      </c>
      <c r="B38" s="80">
        <v>4</v>
      </c>
      <c r="C38" s="6">
        <v>3879.06</v>
      </c>
      <c r="D38" s="6">
        <f t="shared" si="0"/>
        <v>3890.6971800000001</v>
      </c>
      <c r="E38" s="6">
        <f>4044.27+I2</f>
        <v>4044.27</v>
      </c>
      <c r="F38" s="6">
        <f t="shared" si="1"/>
        <v>4165.5981000000002</v>
      </c>
      <c r="G38" s="120">
        <f t="shared" si="2"/>
        <v>4165.5981000000002</v>
      </c>
      <c r="H38">
        <v>67</v>
      </c>
    </row>
    <row r="39" spans="1:8" ht="13.8" x14ac:dyDescent="0.25">
      <c r="A39" s="17" t="s">
        <v>87</v>
      </c>
      <c r="B39" s="80">
        <v>4</v>
      </c>
      <c r="C39" s="6">
        <v>3930.56</v>
      </c>
      <c r="D39" s="6">
        <f t="shared" si="0"/>
        <v>3942.3516799999998</v>
      </c>
      <c r="E39" s="6">
        <f>4097.96+I2</f>
        <v>4097.96</v>
      </c>
      <c r="F39" s="6">
        <f t="shared" si="1"/>
        <v>4220.8987999999999</v>
      </c>
      <c r="G39" s="120">
        <f t="shared" si="2"/>
        <v>4220.8987999999999</v>
      </c>
      <c r="H39">
        <v>68</v>
      </c>
    </row>
    <row r="40" spans="1:8" ht="13.8" x14ac:dyDescent="0.25">
      <c r="A40" s="17" t="s">
        <v>88</v>
      </c>
      <c r="B40" s="80">
        <v>4</v>
      </c>
      <c r="C40" s="6">
        <v>3982.05</v>
      </c>
      <c r="D40" s="6">
        <f t="shared" si="0"/>
        <v>3993.9961500000004</v>
      </c>
      <c r="E40" s="6">
        <f>4151.66+I2</f>
        <v>4151.66</v>
      </c>
      <c r="F40" s="6">
        <f t="shared" si="1"/>
        <v>4276.2097999999996</v>
      </c>
      <c r="G40" s="120">
        <f t="shared" si="2"/>
        <v>4276.2097999999996</v>
      </c>
      <c r="H40">
        <v>69</v>
      </c>
    </row>
    <row r="41" spans="1:8" ht="13.8" x14ac:dyDescent="0.25">
      <c r="A41" s="17" t="s">
        <v>89</v>
      </c>
      <c r="B41" s="80">
        <v>4</v>
      </c>
      <c r="C41" s="6">
        <v>4033.54</v>
      </c>
      <c r="D41" s="6">
        <f t="shared" si="0"/>
        <v>4045.6406200000001</v>
      </c>
      <c r="E41" s="6">
        <f>4205.33+I2</f>
        <v>4205.33</v>
      </c>
      <c r="F41" s="6">
        <f t="shared" si="1"/>
        <v>4331.4898999999996</v>
      </c>
      <c r="G41" s="120">
        <f t="shared" si="2"/>
        <v>4331.4898999999996</v>
      </c>
      <c r="H41">
        <v>70</v>
      </c>
    </row>
    <row r="42" spans="1:8" ht="13.8" x14ac:dyDescent="0.25">
      <c r="A42" s="17" t="s">
        <v>90</v>
      </c>
      <c r="B42" s="80">
        <v>4</v>
      </c>
      <c r="C42" s="6">
        <v>4085.03</v>
      </c>
      <c r="D42" s="6">
        <f t="shared" si="0"/>
        <v>4097.2850900000003</v>
      </c>
      <c r="E42" s="6">
        <f>4259.02+I2</f>
        <v>4259.0200000000004</v>
      </c>
      <c r="F42" s="6">
        <f t="shared" si="1"/>
        <v>4386.7906000000003</v>
      </c>
      <c r="G42" s="120">
        <f t="shared" si="2"/>
        <v>4386.7906000000003</v>
      </c>
      <c r="H42">
        <v>71</v>
      </c>
    </row>
    <row r="43" spans="1:8" ht="13.8" x14ac:dyDescent="0.25">
      <c r="A43" s="17" t="s">
        <v>91</v>
      </c>
      <c r="B43" s="80">
        <v>4</v>
      </c>
      <c r="C43" s="6">
        <v>4136.5200000000004</v>
      </c>
      <c r="D43" s="6">
        <f t="shared" si="0"/>
        <v>4148.9295600000005</v>
      </c>
      <c r="E43" s="6">
        <f>4312.7+I2</f>
        <v>4312.7</v>
      </c>
      <c r="F43" s="6">
        <f t="shared" si="1"/>
        <v>4442.0810000000001</v>
      </c>
      <c r="G43" s="120">
        <f t="shared" si="2"/>
        <v>4442.0810000000001</v>
      </c>
      <c r="H43">
        <v>72</v>
      </c>
    </row>
    <row r="44" spans="1:8" ht="13.8" x14ac:dyDescent="0.25">
      <c r="A44" s="17" t="s">
        <v>92</v>
      </c>
      <c r="B44" s="80">
        <v>4</v>
      </c>
      <c r="C44" s="6">
        <v>4188.0200000000004</v>
      </c>
      <c r="D44" s="6">
        <f t="shared" si="0"/>
        <v>4200.5840600000001</v>
      </c>
      <c r="E44" s="6">
        <f>4366.39+I2</f>
        <v>4366.3900000000003</v>
      </c>
      <c r="F44" s="6">
        <f t="shared" si="1"/>
        <v>4497.3816999999999</v>
      </c>
      <c r="G44" s="120">
        <f t="shared" si="2"/>
        <v>4497.3816999999999</v>
      </c>
      <c r="H44">
        <v>73</v>
      </c>
    </row>
    <row r="45" spans="1:8" ht="13.8" x14ac:dyDescent="0.25">
      <c r="A45" s="17" t="s">
        <v>93</v>
      </c>
      <c r="B45" s="80">
        <v>4</v>
      </c>
      <c r="C45" s="6">
        <v>4239.51</v>
      </c>
      <c r="D45" s="6">
        <f t="shared" si="0"/>
        <v>4252.2285300000003</v>
      </c>
      <c r="E45" s="6">
        <f>4420.07+I2</f>
        <v>4420.07</v>
      </c>
      <c r="F45" s="6">
        <f t="shared" si="1"/>
        <v>4552.6720999999998</v>
      </c>
      <c r="G45" s="120">
        <f t="shared" si="2"/>
        <v>4552.6720999999998</v>
      </c>
      <c r="H45">
        <v>74</v>
      </c>
    </row>
    <row r="46" spans="1:8" ht="13.8" x14ac:dyDescent="0.25">
      <c r="A46" s="17" t="s">
        <v>94</v>
      </c>
      <c r="B46" s="80">
        <v>4</v>
      </c>
      <c r="C46" s="81">
        <v>4291</v>
      </c>
      <c r="D46" s="6">
        <f t="shared" si="0"/>
        <v>4303.8729999999996</v>
      </c>
      <c r="E46" s="6">
        <f>4473.74+I2</f>
        <v>4473.74</v>
      </c>
      <c r="F46" s="6">
        <f t="shared" si="1"/>
        <v>4607.9521999999997</v>
      </c>
      <c r="G46" s="120">
        <f t="shared" si="2"/>
        <v>4607.9521999999997</v>
      </c>
      <c r="H46">
        <v>75</v>
      </c>
    </row>
    <row r="47" spans="1:8" ht="13.8" x14ac:dyDescent="0.25">
      <c r="A47" s="17" t="s">
        <v>95</v>
      </c>
      <c r="B47" s="80">
        <v>4</v>
      </c>
      <c r="C47" s="6">
        <v>4342.49</v>
      </c>
      <c r="D47" s="6">
        <f t="shared" si="0"/>
        <v>4355.5174699999998</v>
      </c>
      <c r="E47" s="6">
        <f>4527.44+I2</f>
        <v>4527.4399999999996</v>
      </c>
      <c r="F47" s="6">
        <f t="shared" si="1"/>
        <v>4663.2631999999994</v>
      </c>
      <c r="G47" s="120">
        <f t="shared" si="2"/>
        <v>4663.2631999999994</v>
      </c>
      <c r="H47">
        <v>76</v>
      </c>
    </row>
    <row r="48" spans="1:8" ht="13.8" x14ac:dyDescent="0.25">
      <c r="A48" s="17" t="s">
        <v>96</v>
      </c>
      <c r="B48" s="80">
        <v>4</v>
      </c>
      <c r="C48" s="6">
        <v>4393.9799999999996</v>
      </c>
      <c r="D48" s="6">
        <f t="shared" si="0"/>
        <v>4407.16194</v>
      </c>
      <c r="E48" s="6">
        <f>4581.12+I2</f>
        <v>4581.12</v>
      </c>
      <c r="F48" s="6">
        <f t="shared" si="1"/>
        <v>4718.5536000000002</v>
      </c>
      <c r="G48" s="120">
        <f t="shared" si="2"/>
        <v>4718.5536000000002</v>
      </c>
      <c r="H48">
        <v>77</v>
      </c>
    </row>
    <row r="49" spans="1:8" ht="13.8" x14ac:dyDescent="0.25">
      <c r="A49" s="17" t="s">
        <v>97</v>
      </c>
      <c r="B49" s="80">
        <v>4</v>
      </c>
      <c r="C49" s="6">
        <v>4445.4799999999996</v>
      </c>
      <c r="D49" s="6">
        <f t="shared" si="0"/>
        <v>4458.8164399999996</v>
      </c>
      <c r="E49" s="6">
        <f>4634.82+I2</f>
        <v>4634.82</v>
      </c>
      <c r="F49" s="6">
        <f t="shared" si="1"/>
        <v>4773.8645999999999</v>
      </c>
      <c r="G49" s="120">
        <f t="shared" si="2"/>
        <v>4773.8645999999999</v>
      </c>
      <c r="H49">
        <v>78</v>
      </c>
    </row>
    <row r="50" spans="1:8" ht="13.8" x14ac:dyDescent="0.25">
      <c r="A50" s="17" t="s">
        <v>98</v>
      </c>
      <c r="B50" s="80">
        <v>4</v>
      </c>
      <c r="C50" s="6">
        <v>4496.97</v>
      </c>
      <c r="D50" s="6">
        <f t="shared" si="0"/>
        <v>4510.4609100000007</v>
      </c>
      <c r="E50" s="6">
        <f>4688.49+I2</f>
        <v>4688.49</v>
      </c>
      <c r="F50" s="6">
        <f t="shared" si="1"/>
        <v>4829.1446999999998</v>
      </c>
      <c r="G50" s="120">
        <f t="shared" si="2"/>
        <v>4829.1446999999998</v>
      </c>
      <c r="H50">
        <v>79</v>
      </c>
    </row>
    <row r="51" spans="1:8" ht="13.8" x14ac:dyDescent="0.25">
      <c r="A51" s="17" t="s">
        <v>99</v>
      </c>
      <c r="B51" s="80">
        <v>4</v>
      </c>
      <c r="C51" s="6">
        <v>4548.46</v>
      </c>
      <c r="D51" s="6">
        <f t="shared" si="0"/>
        <v>4562.10538</v>
      </c>
      <c r="E51" s="6">
        <f>4742.18+I2</f>
        <v>4742.18</v>
      </c>
      <c r="F51" s="6">
        <f t="shared" si="1"/>
        <v>4884.4454000000005</v>
      </c>
      <c r="G51" s="120">
        <f t="shared" si="2"/>
        <v>4884.4454000000005</v>
      </c>
      <c r="H51">
        <v>80</v>
      </c>
    </row>
    <row r="52" spans="1:8" ht="13.8" x14ac:dyDescent="0.25">
      <c r="A52" s="17" t="s">
        <v>100</v>
      </c>
      <c r="B52" s="80">
        <v>4</v>
      </c>
      <c r="C52" s="6">
        <v>4599.95</v>
      </c>
      <c r="D52" s="6">
        <f t="shared" si="0"/>
        <v>4613.7498500000002</v>
      </c>
      <c r="E52" s="6">
        <f>4795.86+I2</f>
        <v>4795.8599999999997</v>
      </c>
      <c r="F52" s="6">
        <f t="shared" si="1"/>
        <v>4939.7357999999995</v>
      </c>
      <c r="G52" s="120">
        <f t="shared" si="2"/>
        <v>4939.7357999999995</v>
      </c>
      <c r="H52">
        <v>81</v>
      </c>
    </row>
    <row r="53" spans="1:8" ht="13.8" x14ac:dyDescent="0.25">
      <c r="A53" s="17" t="s">
        <v>101</v>
      </c>
      <c r="B53" s="80">
        <v>4</v>
      </c>
      <c r="C53" s="6">
        <v>4651.4399999999996</v>
      </c>
      <c r="D53" s="6">
        <f t="shared" si="0"/>
        <v>4665.3943199999994</v>
      </c>
      <c r="E53" s="6">
        <f>4849.55+I2</f>
        <v>4849.55</v>
      </c>
      <c r="F53" s="6">
        <f t="shared" si="1"/>
        <v>4995.0365000000002</v>
      </c>
      <c r="G53" s="120">
        <f t="shared" si="2"/>
        <v>4995.0365000000002</v>
      </c>
      <c r="H53">
        <v>82</v>
      </c>
    </row>
    <row r="54" spans="1:8" x14ac:dyDescent="0.25">
      <c r="C54" s="6"/>
      <c r="D54" s="6"/>
      <c r="E54" s="6"/>
      <c r="F54" s="6"/>
      <c r="G54" s="6"/>
    </row>
  </sheetData>
  <mergeCells count="2">
    <mergeCell ref="J4:K4"/>
    <mergeCell ref="B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Início_Informações </vt:lpstr>
      <vt:lpstr>RESUMO ORÇAMENTO IST-ID</vt:lpstr>
      <vt:lpstr>Contrato Doutorado (DL 57_2016)</vt:lpstr>
      <vt:lpstr>Contrato Carreira Técnico Sup.</vt:lpstr>
      <vt:lpstr>Bolsas</vt:lpstr>
      <vt:lpstr>Cálculo Seg. acidentes trabalho</vt:lpstr>
      <vt:lpstr>Nivel Remuneratório Doutorado</vt:lpstr>
    </vt:vector>
  </TitlesOfParts>
  <Company>Instituto Superior Técnico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Fernandes</dc:creator>
  <cp:lastModifiedBy>Susana Paula Salvador Varela</cp:lastModifiedBy>
  <cp:lastPrinted>2024-01-18T11:49:17Z</cp:lastPrinted>
  <dcterms:created xsi:type="dcterms:W3CDTF">2014-02-24T12:10:35Z</dcterms:created>
  <dcterms:modified xsi:type="dcterms:W3CDTF">2024-02-08T11:54:33Z</dcterms:modified>
</cp:coreProperties>
</file>